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5960" windowHeight="13170"/>
  </bookViews>
  <sheets>
    <sheet name="WWMDC Assessment 2016" sheetId="1" r:id="rId1"/>
    <sheet name="SummaryByBuilding" sheetId="2" r:id="rId2"/>
    <sheet name="20W=KGI Summary 2013 - Table 1-" sheetId="3" r:id="rId3"/>
    <sheet name="Apartments" sheetId="4" r:id="rId4"/>
  </sheets>
  <definedNames>
    <definedName name="_xlnm.Print_Area" localSheetId="0">'WWMDC Assessment 2016'!$A$1:$T$221</definedName>
    <definedName name="_xlnm.Print_Titles" localSheetId="0">'WWMDC Assessment 2016'!$1:$3</definedName>
  </definedNames>
  <calcPr calcId="144525"/>
</workbook>
</file>

<file path=xl/calcChain.xml><?xml version="1.0" encoding="utf-8"?>
<calcChain xmlns="http://schemas.openxmlformats.org/spreadsheetml/2006/main">
  <c r="E16" i="2" l="1"/>
  <c r="D16" i="2"/>
  <c r="C16" i="2"/>
  <c r="F16" i="2" s="1"/>
  <c r="E36" i="2"/>
  <c r="P218" i="1" l="1"/>
  <c r="P139" i="1" l="1"/>
  <c r="R201" i="1" l="1"/>
  <c r="E27" i="2"/>
  <c r="E31" i="2"/>
  <c r="E30" i="2"/>
  <c r="P20" i="1" l="1"/>
  <c r="S20" i="1" s="1"/>
  <c r="D19" i="4"/>
  <c r="I18" i="4"/>
  <c r="I17" i="4"/>
  <c r="I16" i="4"/>
  <c r="I15" i="4"/>
  <c r="M14" i="4"/>
  <c r="L14" i="4"/>
  <c r="I14" i="4"/>
  <c r="N13" i="4"/>
  <c r="I13" i="4"/>
  <c r="N12" i="4"/>
  <c r="I12" i="4"/>
  <c r="I11" i="4"/>
  <c r="M10" i="4"/>
  <c r="L10" i="4"/>
  <c r="I10" i="4"/>
  <c r="N9" i="4"/>
  <c r="I9" i="4"/>
  <c r="N8" i="4"/>
  <c r="I8" i="4"/>
  <c r="I7" i="4"/>
  <c r="B76" i="3"/>
  <c r="B74" i="3"/>
  <c r="B72" i="3"/>
  <c r="B71" i="3"/>
  <c r="N70" i="3"/>
  <c r="D70" i="3"/>
  <c r="F70" i="3" s="1"/>
  <c r="B69" i="3"/>
  <c r="B68" i="3"/>
  <c r="B67" i="3"/>
  <c r="B66" i="3"/>
  <c r="B65" i="3"/>
  <c r="H64" i="3"/>
  <c r="B63" i="3"/>
  <c r="W62" i="3"/>
  <c r="N62" i="3"/>
  <c r="B62" i="3" s="1"/>
  <c r="E62" i="3"/>
  <c r="B61" i="3"/>
  <c r="N60" i="3"/>
  <c r="V62" i="3" s="1"/>
  <c r="F60" i="3"/>
  <c r="D60" i="3"/>
  <c r="B60" i="3"/>
  <c r="B59" i="3"/>
  <c r="N58" i="3"/>
  <c r="D58" i="3"/>
  <c r="B57" i="3"/>
  <c r="N55" i="3"/>
  <c r="E55" i="3"/>
  <c r="B55" i="3"/>
  <c r="B54" i="3"/>
  <c r="H53" i="3"/>
  <c r="H56" i="3" s="1"/>
  <c r="J52" i="3"/>
  <c r="N52" i="3" s="1"/>
  <c r="B52" i="3" s="1"/>
  <c r="E52" i="3"/>
  <c r="J51" i="3"/>
  <c r="N51" i="3" s="1"/>
  <c r="B51" i="3" s="1"/>
  <c r="J50" i="3"/>
  <c r="N50" i="3" s="1"/>
  <c r="B50" i="3" s="1"/>
  <c r="E50" i="3"/>
  <c r="J49" i="3"/>
  <c r="N49" i="3" s="1"/>
  <c r="B49" i="3" s="1"/>
  <c r="J48" i="3"/>
  <c r="N48" i="3" s="1"/>
  <c r="B48" i="3" s="1"/>
  <c r="E48" i="3"/>
  <c r="W47" i="3"/>
  <c r="V47" i="3"/>
  <c r="N47" i="3"/>
  <c r="N53" i="3" s="1"/>
  <c r="B47" i="3"/>
  <c r="B46" i="3"/>
  <c r="H45" i="3"/>
  <c r="B44" i="3"/>
  <c r="B43" i="3"/>
  <c r="B42" i="3"/>
  <c r="N41" i="3"/>
  <c r="D41" i="3"/>
  <c r="N40" i="3"/>
  <c r="B40" i="3"/>
  <c r="B39" i="3"/>
  <c r="H38" i="3"/>
  <c r="B38" i="3"/>
  <c r="B37" i="3"/>
  <c r="N36" i="3"/>
  <c r="B36" i="3" s="1"/>
  <c r="E36" i="3"/>
  <c r="N35" i="3"/>
  <c r="X36" i="3" s="1"/>
  <c r="E35" i="3"/>
  <c r="B35" i="3"/>
  <c r="N34" i="3"/>
  <c r="N38" i="3" s="1"/>
  <c r="E38" i="3" s="1"/>
  <c r="B34" i="3"/>
  <c r="B33" i="3"/>
  <c r="H32" i="3"/>
  <c r="B31" i="3"/>
  <c r="N30" i="3"/>
  <c r="E30" i="3"/>
  <c r="B30" i="3"/>
  <c r="N29" i="3"/>
  <c r="E29" i="3" s="1"/>
  <c r="B29" i="3"/>
  <c r="B28" i="3"/>
  <c r="U27" i="3"/>
  <c r="N27" i="3"/>
  <c r="E27" i="3" s="1"/>
  <c r="U26" i="3"/>
  <c r="W27" i="3" s="1"/>
  <c r="T26" i="3"/>
  <c r="D26" i="3" s="1"/>
  <c r="N26" i="3"/>
  <c r="X27" i="3" s="1"/>
  <c r="E26" i="3"/>
  <c r="N25" i="3"/>
  <c r="N32" i="3" s="1"/>
  <c r="E32" i="3" s="1"/>
  <c r="B25" i="3"/>
  <c r="B24" i="3"/>
  <c r="H23" i="3"/>
  <c r="B23" i="3"/>
  <c r="B22" i="3"/>
  <c r="N21" i="3"/>
  <c r="E21" i="3"/>
  <c r="B21" i="3"/>
  <c r="N20" i="3"/>
  <c r="E20" i="3" s="1"/>
  <c r="B20" i="3"/>
  <c r="N19" i="3"/>
  <c r="X18" i="3"/>
  <c r="W18" i="3"/>
  <c r="N18" i="3"/>
  <c r="E18" i="3"/>
  <c r="N17" i="3"/>
  <c r="V18" i="3" s="1"/>
  <c r="E17" i="3"/>
  <c r="D17" i="3"/>
  <c r="F17" i="3" s="1"/>
  <c r="N16" i="3"/>
  <c r="N23" i="3" s="1"/>
  <c r="E23" i="3" s="1"/>
  <c r="B16" i="3"/>
  <c r="H15" i="3"/>
  <c r="E14" i="3"/>
  <c r="B14" i="3"/>
  <c r="N13" i="3"/>
  <c r="E13" i="3"/>
  <c r="B13" i="3"/>
  <c r="N12" i="3"/>
  <c r="E12" i="3" s="1"/>
  <c r="B12" i="3"/>
  <c r="N11" i="3"/>
  <c r="N10" i="3"/>
  <c r="B10" i="3" s="1"/>
  <c r="N9" i="3"/>
  <c r="E9" i="3"/>
  <c r="B9" i="3"/>
  <c r="B8" i="3"/>
  <c r="B7" i="3"/>
  <c r="B6" i="3"/>
  <c r="B5" i="3"/>
  <c r="F19" i="2"/>
  <c r="E18" i="2"/>
  <c r="D18" i="2"/>
  <c r="C18" i="2"/>
  <c r="D14" i="2"/>
  <c r="E12" i="2"/>
  <c r="E11" i="2"/>
  <c r="D11" i="2"/>
  <c r="E10" i="2"/>
  <c r="D10" i="2"/>
  <c r="E4" i="2"/>
  <c r="D4" i="2"/>
  <c r="P213" i="1"/>
  <c r="P212" i="1"/>
  <c r="P210" i="1" s="1"/>
  <c r="S204" i="1"/>
  <c r="S202" i="1"/>
  <c r="P201" i="1"/>
  <c r="S201" i="1" s="1"/>
  <c r="S197" i="1"/>
  <c r="Q194" i="1"/>
  <c r="D15" i="2" s="1"/>
  <c r="L194" i="1"/>
  <c r="P190" i="1"/>
  <c r="S190" i="1" s="1"/>
  <c r="P188" i="1"/>
  <c r="S188" i="1" s="1"/>
  <c r="P186" i="1"/>
  <c r="S186" i="1" s="1"/>
  <c r="P184" i="1"/>
  <c r="R184" i="1" s="1"/>
  <c r="P182" i="1"/>
  <c r="R176" i="1"/>
  <c r="E14" i="2" s="1"/>
  <c r="Q176" i="1"/>
  <c r="L176" i="1"/>
  <c r="P171" i="1"/>
  <c r="S171" i="1" s="1"/>
  <c r="P165" i="1"/>
  <c r="S158" i="1"/>
  <c r="R150" i="1"/>
  <c r="R152" i="1" s="1"/>
  <c r="E13" i="2" s="1"/>
  <c r="L150" i="1"/>
  <c r="Q144" i="1"/>
  <c r="P144" i="1"/>
  <c r="S144" i="1" s="1"/>
  <c r="S139" i="1"/>
  <c r="Q139" i="1"/>
  <c r="Q135" i="1"/>
  <c r="P135" i="1"/>
  <c r="S135" i="1" s="1"/>
  <c r="Q131" i="1"/>
  <c r="P131" i="1"/>
  <c r="R128" i="1"/>
  <c r="Q128" i="1"/>
  <c r="L128" i="1"/>
  <c r="S122" i="1"/>
  <c r="P122" i="1"/>
  <c r="P117" i="1"/>
  <c r="S117" i="1" s="1"/>
  <c r="P111" i="1"/>
  <c r="S111" i="1" s="1"/>
  <c r="I97" i="1"/>
  <c r="R96" i="1"/>
  <c r="Q96" i="1"/>
  <c r="D12" i="2" s="1"/>
  <c r="L96" i="1"/>
  <c r="O94" i="1"/>
  <c r="P94" i="1" s="1"/>
  <c r="S94" i="1" s="1"/>
  <c r="S93" i="1"/>
  <c r="S96" i="1" s="1"/>
  <c r="P93" i="1"/>
  <c r="P96" i="1" s="1"/>
  <c r="C12" i="2" s="1"/>
  <c r="O83" i="1"/>
  <c r="P83" i="1" s="1"/>
  <c r="Q80" i="1"/>
  <c r="P78" i="1"/>
  <c r="R74" i="1"/>
  <c r="R80" i="1" s="1"/>
  <c r="Q74" i="1"/>
  <c r="D9" i="2" s="1"/>
  <c r="P74" i="1"/>
  <c r="C9" i="2" s="1"/>
  <c r="L74" i="1"/>
  <c r="L80" i="1" s="1"/>
  <c r="P71" i="1"/>
  <c r="S71" i="1" s="1"/>
  <c r="S70" i="1"/>
  <c r="P70" i="1"/>
  <c r="P69" i="1"/>
  <c r="S69" i="1" s="1"/>
  <c r="S68" i="1"/>
  <c r="P68" i="1"/>
  <c r="P67" i="1"/>
  <c r="S67" i="1" s="1"/>
  <c r="S66" i="1"/>
  <c r="P66" i="1"/>
  <c r="I56" i="1"/>
  <c r="R55" i="1"/>
  <c r="E8" i="2" s="1"/>
  <c r="Q55" i="1"/>
  <c r="D8" i="2" s="1"/>
  <c r="L55" i="1"/>
  <c r="P53" i="1"/>
  <c r="S53" i="1" s="1"/>
  <c r="O52" i="1"/>
  <c r="P52" i="1" s="1"/>
  <c r="R46" i="1"/>
  <c r="E7" i="2" s="1"/>
  <c r="Q46" i="1"/>
  <c r="D7" i="2" s="1"/>
  <c r="L46" i="1"/>
  <c r="S44" i="1"/>
  <c r="P44" i="1"/>
  <c r="P43" i="1"/>
  <c r="P46" i="1" s="1"/>
  <c r="C7" i="2" s="1"/>
  <c r="S42" i="1"/>
  <c r="P42" i="1"/>
  <c r="I34" i="1"/>
  <c r="R33" i="1"/>
  <c r="E6" i="2" s="1"/>
  <c r="L33" i="1"/>
  <c r="Q31" i="1"/>
  <c r="Q33" i="1" s="1"/>
  <c r="D6" i="2" s="1"/>
  <c r="P31" i="1"/>
  <c r="S31" i="1" s="1"/>
  <c r="S30" i="1"/>
  <c r="P30" i="1"/>
  <c r="P29" i="1"/>
  <c r="S29" i="1" s="1"/>
  <c r="P28" i="1"/>
  <c r="S28" i="1" s="1"/>
  <c r="R22" i="1"/>
  <c r="E5" i="2" s="1"/>
  <c r="Q22" i="1"/>
  <c r="D5" i="2" s="1"/>
  <c r="L22" i="1"/>
  <c r="S19" i="1"/>
  <c r="P19" i="1"/>
  <c r="P18" i="1"/>
  <c r="S18" i="1" s="1"/>
  <c r="P17" i="1"/>
  <c r="S17" i="1" s="1"/>
  <c r="P16" i="1"/>
  <c r="S16" i="1" s="1"/>
  <c r="P15" i="1"/>
  <c r="S15" i="1" s="1"/>
  <c r="P6" i="1"/>
  <c r="E17" i="2" l="1"/>
  <c r="P33" i="1"/>
  <c r="C6" i="2" s="1"/>
  <c r="F6" i="2" s="1"/>
  <c r="R182" i="1"/>
  <c r="R194" i="1" s="1"/>
  <c r="E15" i="2" s="1"/>
  <c r="S33" i="1"/>
  <c r="S43" i="1"/>
  <c r="S46" i="1" s="1"/>
  <c r="S128" i="1"/>
  <c r="E9" i="2"/>
  <c r="F9" i="2" s="1"/>
  <c r="S74" i="1"/>
  <c r="Q150" i="1"/>
  <c r="Q152" i="1" s="1"/>
  <c r="D13" i="2" s="1"/>
  <c r="P176" i="1"/>
  <c r="C14" i="2" s="1"/>
  <c r="F14" i="2" s="1"/>
  <c r="S184" i="1"/>
  <c r="F12" i="2"/>
  <c r="F7" i="2"/>
  <c r="P22" i="1"/>
  <c r="F26" i="3"/>
  <c r="D8" i="3"/>
  <c r="P55" i="1"/>
  <c r="C8" i="2" s="1"/>
  <c r="F8" i="2" s="1"/>
  <c r="S52" i="1"/>
  <c r="S55" i="1" s="1"/>
  <c r="C11" i="2"/>
  <c r="F11" i="2" s="1"/>
  <c r="S83" i="1"/>
  <c r="W42" i="3"/>
  <c r="Q43" i="3"/>
  <c r="V42" i="3"/>
  <c r="E41" i="3"/>
  <c r="W59" i="3"/>
  <c r="V59" i="3"/>
  <c r="E58" i="3"/>
  <c r="C5" i="2"/>
  <c r="F5" i="2" s="1"/>
  <c r="S22" i="1"/>
  <c r="P128" i="1"/>
  <c r="S131" i="1"/>
  <c r="S150" i="1" s="1"/>
  <c r="S152" i="1" s="1"/>
  <c r="P150" i="1"/>
  <c r="E11" i="3"/>
  <c r="B11" i="3"/>
  <c r="E19" i="3"/>
  <c r="B19" i="3"/>
  <c r="V27" i="3"/>
  <c r="B32" i="3"/>
  <c r="N45" i="3"/>
  <c r="B53" i="3"/>
  <c r="N56" i="3"/>
  <c r="X71" i="3"/>
  <c r="S71" i="3"/>
  <c r="W71" i="3"/>
  <c r="Q71" i="3"/>
  <c r="E70" i="3"/>
  <c r="V71" i="3"/>
  <c r="N14" i="4"/>
  <c r="L16" i="4"/>
  <c r="S165" i="1"/>
  <c r="S176" i="1" s="1"/>
  <c r="P194" i="1"/>
  <c r="C15" i="2" s="1"/>
  <c r="F18" i="2"/>
  <c r="B41" i="3"/>
  <c r="X42" i="3"/>
  <c r="E49" i="3"/>
  <c r="E51" i="3"/>
  <c r="E53" i="3"/>
  <c r="B58" i="3"/>
  <c r="X59" i="3"/>
  <c r="M16" i="4"/>
  <c r="N10" i="4"/>
  <c r="N16" i="4" s="1"/>
  <c r="C4" i="2"/>
  <c r="S6" i="1"/>
  <c r="C10" i="2"/>
  <c r="F10" i="2" s="1"/>
  <c r="S78" i="1"/>
  <c r="S80" i="1" s="1"/>
  <c r="P80" i="1"/>
  <c r="Q200" i="1"/>
  <c r="L152" i="1"/>
  <c r="L200" i="1" s="1"/>
  <c r="R200" i="1"/>
  <c r="R203" i="1" s="1"/>
  <c r="R205" i="1" s="1"/>
  <c r="E10" i="3"/>
  <c r="N15" i="3"/>
  <c r="F41" i="3"/>
  <c r="F58" i="3"/>
  <c r="B70" i="3"/>
  <c r="U71" i="3"/>
  <c r="I19" i="4"/>
  <c r="X62" i="3"/>
  <c r="E16" i="3"/>
  <c r="U18" i="3"/>
  <c r="E25" i="3"/>
  <c r="E34" i="3"/>
  <c r="E40" i="3"/>
  <c r="E47" i="3"/>
  <c r="X47" i="3"/>
  <c r="U62" i="3"/>
  <c r="N64" i="3"/>
  <c r="E60" i="3"/>
  <c r="C17" i="2" l="1"/>
  <c r="D17" i="2"/>
  <c r="D20" i="2" s="1"/>
  <c r="D22" i="2" s="1"/>
  <c r="F15" i="2"/>
  <c r="E20" i="2"/>
  <c r="E22" i="2" s="1"/>
  <c r="E23" i="2" s="1"/>
  <c r="S182" i="1"/>
  <c r="S194" i="1" s="1"/>
  <c r="E45" i="3"/>
  <c r="B45" i="3"/>
  <c r="E8" i="3"/>
  <c r="F8" i="3"/>
  <c r="F4" i="2"/>
  <c r="N73" i="3"/>
  <c r="E15" i="3"/>
  <c r="B15" i="3"/>
  <c r="S200" i="1"/>
  <c r="B56" i="3"/>
  <c r="E56" i="3"/>
  <c r="B64" i="3"/>
  <c r="E64" i="3"/>
  <c r="P152" i="1"/>
  <c r="C13" i="2" s="1"/>
  <c r="F13" i="2" s="1"/>
  <c r="P200" i="1" l="1"/>
  <c r="P203" i="1" s="1"/>
  <c r="N75" i="3"/>
  <c r="B75" i="3" s="1"/>
  <c r="E73" i="3"/>
  <c r="E75" i="3" s="1"/>
  <c r="B73" i="3"/>
  <c r="F17" i="2" l="1"/>
  <c r="C20" i="2"/>
  <c r="S203" i="1"/>
  <c r="P205" i="1"/>
  <c r="S205" i="1" s="1"/>
  <c r="F20" i="2" l="1"/>
  <c r="F22" i="2" s="1"/>
  <c r="C22" i="2"/>
  <c r="C23" i="2" s="1"/>
</calcChain>
</file>

<file path=xl/sharedStrings.xml><?xml version="1.0" encoding="utf-8"?>
<sst xmlns="http://schemas.openxmlformats.org/spreadsheetml/2006/main" count="813" uniqueCount="492">
  <si>
    <t>Wayland Town Center Data and Capacity based on Title V Allocations</t>
  </si>
  <si>
    <t>Billing adjustments are on the bottom</t>
  </si>
  <si>
    <t>Building</t>
  </si>
  <si>
    <t>Irrigation Meter?</t>
  </si>
  <si>
    <t>Physical Address &amp; Space</t>
  </si>
  <si>
    <t>Wastewater Bill Address</t>
  </si>
  <si>
    <t>Parcel ID #</t>
  </si>
  <si>
    <t>Water Acct#</t>
  </si>
  <si>
    <t>WW Acct#</t>
  </si>
  <si>
    <t>Meter # &amp; Installation</t>
  </si>
  <si>
    <t xml:space="preserve">Sq. Ft. </t>
  </si>
  <si>
    <t>Title V-Establishment Type &amp; Criteria</t>
  </si>
  <si>
    <t>Title V GPD Units</t>
  </si>
  <si>
    <t># of Dr's, Chairs, Seats</t>
  </si>
  <si>
    <t>WWMDC Capacity GPD</t>
  </si>
  <si>
    <t>KGI Capacity 8/9/13</t>
  </si>
  <si>
    <t>Wayland BOH/Bldg Dpt's Permit #'s 7/14/15</t>
  </si>
  <si>
    <t>WWMDC BOH/Bldg Dpt's Variance</t>
  </si>
  <si>
    <t>Differences WW vs Bld Dept.</t>
  </si>
  <si>
    <t>Values on 27Jan2016</t>
  </si>
  <si>
    <t>Comments</t>
  </si>
  <si>
    <t>Master Meters to Be Read (one meter for the whole building)</t>
  </si>
  <si>
    <t>1)</t>
  </si>
  <si>
    <t>5A</t>
  </si>
  <si>
    <t>No</t>
  </si>
  <si>
    <t>101 Andrew Ave</t>
  </si>
  <si>
    <t>The Stop &amp; Shop Supermarket Company</t>
  </si>
  <si>
    <t>023-052</t>
  </si>
  <si>
    <t xml:space="preserve">Supermarket: </t>
  </si>
  <si>
    <t>space 10</t>
  </si>
  <si>
    <t>P.O. Box 1660</t>
  </si>
  <si>
    <t>97 gpd per 1000 sqft</t>
  </si>
  <si>
    <t>Buffalo, NY 14205</t>
  </si>
  <si>
    <t>2)</t>
  </si>
  <si>
    <t>1C</t>
  </si>
  <si>
    <t>71 - 87 Andrew Ave</t>
  </si>
  <si>
    <t>BOS Retail 1, LLC - Bldg 1C</t>
  </si>
  <si>
    <t>c/o National Development</t>
  </si>
  <si>
    <t>2310 Washington St.</t>
  </si>
  <si>
    <t>Newton Lower Falls, MA 02467</t>
  </si>
  <si>
    <t>87 Andrew (space 10)</t>
  </si>
  <si>
    <t xml:space="preserve">   Sperry Liquors</t>
  </si>
  <si>
    <t>Retail: 50 gpd per 1,000 sqft</t>
  </si>
  <si>
    <t>81 Andrew (space 20)</t>
  </si>
  <si>
    <t xml:space="preserve">   Antons</t>
  </si>
  <si>
    <t>79 Andrew (space 30)</t>
  </si>
  <si>
    <t xml:space="preserve">   Super Cuts</t>
  </si>
  <si>
    <t>Beauty Salon: 100 gpd per chair</t>
  </si>
  <si>
    <t>75 Andrew (space 40)</t>
  </si>
  <si>
    <t xml:space="preserve">   GNC</t>
  </si>
  <si>
    <t>73 Andrew (sp. 50/60)</t>
  </si>
  <si>
    <t xml:space="preserve">   Vacant</t>
  </si>
  <si>
    <t>71 Andrew (space 70)</t>
  </si>
  <si>
    <t xml:space="preserve">   Femiluxe (Nails)</t>
  </si>
  <si>
    <t>space 80</t>
  </si>
  <si>
    <t xml:space="preserve">   Mechanical Room</t>
  </si>
  <si>
    <t>Total Capacity gpd Bldg 1C</t>
  </si>
  <si>
    <t>3)</t>
  </si>
  <si>
    <t>2C</t>
  </si>
  <si>
    <t>Yes</t>
  </si>
  <si>
    <t>57 - 65 Andrew Ave</t>
  </si>
  <si>
    <t>BOS Retail 1, LLC - Bldg 2C</t>
  </si>
  <si>
    <t>65 Andrew (space 10)</t>
  </si>
  <si>
    <t xml:space="preserve">   Almaari Jewelry</t>
  </si>
  <si>
    <t>63 Andrew (space 20)</t>
  </si>
  <si>
    <t xml:space="preserve">   Subway </t>
  </si>
  <si>
    <t>Restr., fast food 20 gpd per seat</t>
  </si>
  <si>
    <t>61 Andrew (space 30)</t>
  </si>
  <si>
    <t xml:space="preserve">   Orange Leaf </t>
  </si>
  <si>
    <t>57 Andrew (sp. 40/50)</t>
  </si>
  <si>
    <t xml:space="preserve">   Sleepys</t>
  </si>
  <si>
    <t xml:space="preserve"> space 60</t>
  </si>
  <si>
    <t>Total Capacity gpd Bldg 2C</t>
  </si>
  <si>
    <t>Deduction Irrigation Meter (Deduct irrigation</t>
  </si>
  <si>
    <t>Changes based on use</t>
  </si>
  <si>
    <t>meter gpd from Account #2701073)</t>
  </si>
  <si>
    <t>4)</t>
  </si>
  <si>
    <t>2D</t>
  </si>
  <si>
    <t>15 - 21 Elissa Ave</t>
  </si>
  <si>
    <t>BOS Retail 1, LLC - Bldg 2D</t>
  </si>
  <si>
    <t xml:space="preserve">   Takara</t>
  </si>
  <si>
    <t>Restr., 35 gpd per seat</t>
  </si>
  <si>
    <t>space 20/50</t>
  </si>
  <si>
    <t xml:space="preserve">   Vacant (formerly Petco)</t>
  </si>
  <si>
    <t>space 30</t>
  </si>
  <si>
    <t xml:space="preserve">   TC Orthodontics</t>
  </si>
  <si>
    <t>Dentist: 200 gpd per Dentist</t>
  </si>
  <si>
    <t>space 40</t>
  </si>
  <si>
    <t xml:space="preserve">   Mechanical Room </t>
  </si>
  <si>
    <t>Total Capacity gpd Bldg 2D</t>
  </si>
  <si>
    <t>5)</t>
  </si>
  <si>
    <t>2E</t>
  </si>
  <si>
    <t>14-20 Elissa Ave</t>
  </si>
  <si>
    <t>BOS Retail 1, LLC - Bldg 2E</t>
  </si>
  <si>
    <t xml:space="preserve">   Bertuccis (20 patio seats/no bar) </t>
  </si>
  <si>
    <t>Restr. 35 gpd per seat</t>
  </si>
  <si>
    <t>space 20</t>
  </si>
  <si>
    <t>Total Capacity gpd Bldg 2E</t>
  </si>
  <si>
    <t>meter gpd from Account #2701071)</t>
  </si>
  <si>
    <t>6)</t>
  </si>
  <si>
    <t>2F</t>
  </si>
  <si>
    <t>25 - 42 Andrew Ave</t>
  </si>
  <si>
    <t xml:space="preserve">BOS Retail 1, LLC - Bldg 2F       </t>
  </si>
  <si>
    <r>
      <rPr>
        <sz val="12"/>
        <color indexed="8"/>
        <rFont val="Calibri"/>
      </rPr>
      <t xml:space="preserve">  </t>
    </r>
    <r>
      <rPr>
        <u/>
        <sz val="12"/>
        <color indexed="8"/>
        <rFont val="Calibri"/>
      </rPr>
      <t xml:space="preserve"> First Floor</t>
    </r>
  </si>
  <si>
    <t>25 Andrew (space 10)</t>
  </si>
  <si>
    <t xml:space="preserve">   Lauren Craig (Occupancy 36)</t>
  </si>
  <si>
    <t>BOH 6 chairs. Checking on 3 Color Chairs.</t>
  </si>
  <si>
    <t xml:space="preserve">29 Andrew (space 20) </t>
  </si>
  <si>
    <t xml:space="preserve">   Elements (no client water use-15 Clients/day)</t>
  </si>
  <si>
    <t>31 Andrew (space 30)</t>
  </si>
  <si>
    <t xml:space="preserve">   Jos. A Bank</t>
  </si>
  <si>
    <t>35 Andrew (space 40)</t>
  </si>
  <si>
    <t xml:space="preserve">   Prop. AT&amp;T</t>
  </si>
  <si>
    <t>space 50</t>
  </si>
  <si>
    <t>space 60</t>
  </si>
  <si>
    <t xml:space="preserve">   Stair/Mech Storage/Elev &amp; Machine/</t>
  </si>
  <si>
    <t xml:space="preserve">      Sprinkler Rm/Egress Corridor </t>
  </si>
  <si>
    <t xml:space="preserve">   First Floor Total</t>
  </si>
  <si>
    <t>1st Floor Capacity gpd</t>
  </si>
  <si>
    <t>Second Floor</t>
  </si>
  <si>
    <t>Family Dwelling Multiple:</t>
  </si>
  <si>
    <t xml:space="preserve">   Apartments: #201-#212 (1 Bedroom each)</t>
  </si>
  <si>
    <t>110 gpd per bedroom</t>
  </si>
  <si>
    <t xml:space="preserve">   LL Storage/Stair 2/Elev &amp; Machine/</t>
  </si>
  <si>
    <t>2nd Floor Capacity GPD</t>
  </si>
  <si>
    <t xml:space="preserve">      Corridor &amp; Stair </t>
  </si>
  <si>
    <t xml:space="preserve">Total Capacity gpd 1st &amp; 2nd </t>
  </si>
  <si>
    <t xml:space="preserve">    Floor Bldg 2F</t>
  </si>
  <si>
    <t>7)</t>
  </si>
  <si>
    <t>2G</t>
  </si>
  <si>
    <t>21 Andrew Ave</t>
  </si>
  <si>
    <t>PR Restaurants, LLC - Panera (22 Patio Seats)</t>
  </si>
  <si>
    <t>P.O. Box 43296</t>
  </si>
  <si>
    <t>Nottingham, MD 21236</t>
  </si>
  <si>
    <t>8)</t>
  </si>
  <si>
    <t>3A</t>
  </si>
  <si>
    <t>1 - 11 Andrew Ave</t>
  </si>
  <si>
    <t>BOS Retail 1, LLC - Bldg 3A</t>
  </si>
  <si>
    <t xml:space="preserve">   Middlesex Bank</t>
  </si>
  <si>
    <t xml:space="preserve">   The Local (18 Patio Seats)</t>
  </si>
  <si>
    <t>Total Capacity gpd Bldg 3A</t>
  </si>
  <si>
    <t>meter gpd from Account #2701077)</t>
  </si>
  <si>
    <t>No Master Meter-All Meters Read by Town</t>
  </si>
  <si>
    <t>9)</t>
  </si>
  <si>
    <t>1A - Medical</t>
  </si>
  <si>
    <t>109 Andrew Ave</t>
  </si>
  <si>
    <t xml:space="preserve">Medical Office Bldg-Common Space for </t>
  </si>
  <si>
    <t>023-052C</t>
  </si>
  <si>
    <t xml:space="preserve">Board considers this part of the </t>
  </si>
  <si>
    <t>Office Meter</t>
  </si>
  <si>
    <t xml:space="preserve"> </t>
  </si>
  <si>
    <t>House Meter-2nd Floor Bathroom</t>
  </si>
  <si>
    <t>building's capacity numbers.</t>
  </si>
  <si>
    <t>No Capacity or Billing.</t>
  </si>
  <si>
    <t>No WW Billing-Not a Deduction Meter</t>
  </si>
  <si>
    <t>N/A</t>
  </si>
  <si>
    <t>Irrigation</t>
  </si>
  <si>
    <t>10)</t>
  </si>
  <si>
    <t>1A</t>
  </si>
  <si>
    <t>Total 109 Andrew Ave (1st &amp; 2nd Floors)</t>
  </si>
  <si>
    <t>First Floor:</t>
  </si>
  <si>
    <t>ste 101, space 10</t>
  </si>
  <si>
    <t>Medical Care of Boston Mass Corp.</t>
  </si>
  <si>
    <t>Doctor: 250 gpd per Doctor</t>
  </si>
  <si>
    <t>Affiliated Physicians Group</t>
  </si>
  <si>
    <t xml:space="preserve">Adjust billing Capacity to 5 Dr's </t>
  </si>
  <si>
    <t>464 Hillside Avenue, Suite 304</t>
  </si>
  <si>
    <t>July 1, 2016. Check with Dr. first.</t>
  </si>
  <si>
    <t>Needham, MA 02494</t>
  </si>
  <si>
    <t>(Beth Israel Deaconess Healthcare)</t>
  </si>
  <si>
    <t>11)</t>
  </si>
  <si>
    <t>David Larson</t>
  </si>
  <si>
    <t xml:space="preserve">Office Space: 75 gpd per </t>
  </si>
  <si>
    <t>ste 102, space 20</t>
  </si>
  <si>
    <t>Joint Ventures Physical Therapy, Inc.</t>
  </si>
  <si>
    <t>1,000 sq ft</t>
  </si>
  <si>
    <t>654 Beacon Street, Floor 3</t>
  </si>
  <si>
    <t>Boston, MA 02215</t>
  </si>
  <si>
    <t>12)</t>
  </si>
  <si>
    <t>Forever Slender</t>
  </si>
  <si>
    <t>ste 103, space 30</t>
  </si>
  <si>
    <t>Maria Martin</t>
  </si>
  <si>
    <t>9/282015</t>
  </si>
  <si>
    <t>16B Willard Street</t>
  </si>
  <si>
    <t>Wayland, MA 01778</t>
  </si>
  <si>
    <t>First Floor: Stairs/Lobby/Vestibule/Mech</t>
  </si>
  <si>
    <t xml:space="preserve">   Room/Elev. &amp; Mech Shafts (853 sq ft)</t>
  </si>
  <si>
    <t>Total First Floor</t>
  </si>
  <si>
    <t>1st Floor Capacity gpd Bldg 1A</t>
  </si>
  <si>
    <t>Second Floor:</t>
  </si>
  <si>
    <t>13)</t>
  </si>
  <si>
    <t>Dr. Jason A. Boch DMD LLC</t>
  </si>
  <si>
    <t>ste 201, space 210</t>
  </si>
  <si>
    <t>45 Meadowbrook Circle</t>
  </si>
  <si>
    <t>Sudbury, MA 01776</t>
  </si>
  <si>
    <t>14)</t>
  </si>
  <si>
    <t xml:space="preserve">1A </t>
  </si>
  <si>
    <t>Dr. Courtney Lavigne DMD, LLC</t>
  </si>
  <si>
    <t>ste 202, space 220</t>
  </si>
  <si>
    <t>109 Andrew Avenue, Suite 202</t>
  </si>
  <si>
    <t>(1 dentist and 1 hygenist)</t>
  </si>
  <si>
    <t>Wayland, MA  01778</t>
  </si>
  <si>
    <t>15)</t>
  </si>
  <si>
    <t>1A - Vacant</t>
  </si>
  <si>
    <t>BOS Retail 1, LLC - Bldg 1A</t>
  </si>
  <si>
    <t>ste 203, space 230</t>
  </si>
  <si>
    <t>16)</t>
  </si>
  <si>
    <t>ste 204, space 240</t>
  </si>
  <si>
    <t xml:space="preserve">  Second Flr: Stairs/Corridor &amp; Bathrms/Mech</t>
  </si>
  <si>
    <t xml:space="preserve">  Rm &amp; Shafts/Elev &amp; Mech Shafts (1,957 sq ft)</t>
  </si>
  <si>
    <t>Second Floor Total</t>
  </si>
  <si>
    <t>2nd Floor Capacity gpd Bldg 1A</t>
  </si>
  <si>
    <t xml:space="preserve">    Floor Bldg 1A</t>
  </si>
  <si>
    <t>2A - Gym</t>
  </si>
  <si>
    <t>110 Andrew Ave</t>
  </si>
  <si>
    <t>No WW Billing - Not a Deduction Meter</t>
  </si>
  <si>
    <t>No Capacity Requirements</t>
  </si>
  <si>
    <t>17)</t>
  </si>
  <si>
    <t>2A</t>
  </si>
  <si>
    <t>TSI Wayland, Inc.</t>
  </si>
  <si>
    <t>023-052E</t>
  </si>
  <si>
    <t>Country Club Lockers &amp; Showers</t>
  </si>
  <si>
    <t>BOH to determine Design Flow</t>
  </si>
  <si>
    <t>Town Sports Int'l., LLC</t>
  </si>
  <si>
    <t>20 gpd per locker = 4,600 gpd</t>
  </si>
  <si>
    <t>C/O Nus Consulting Group</t>
  </si>
  <si>
    <t xml:space="preserve">DEP approved 2,000 gpd prior </t>
  </si>
  <si>
    <t>P.O. Box 740</t>
  </si>
  <si>
    <t>to this.  BOH reviewing this.</t>
  </si>
  <si>
    <t>Park Ridge, NJ 07656-0740</t>
  </si>
  <si>
    <t>(Boston Sports Club)</t>
  </si>
  <si>
    <t>18)</t>
  </si>
  <si>
    <t>96 Andrew Ave</t>
  </si>
  <si>
    <t>BOS Retail 1, LLC - Bldg 2A</t>
  </si>
  <si>
    <t>space 20A</t>
  </si>
  <si>
    <t>3 Dentists, one working each day.</t>
  </si>
  <si>
    <t>Expected opening March, 2016.</t>
  </si>
  <si>
    <t xml:space="preserve">  Pediatric Dentist - Expected Opening March, 2016</t>
  </si>
  <si>
    <t>19)</t>
  </si>
  <si>
    <t>90 Andrew Ave</t>
  </si>
  <si>
    <t>Amcomm Wireless, Inc. (Verizon)</t>
  </si>
  <si>
    <t>space 20B</t>
  </si>
  <si>
    <t>63 No. Main Street</t>
  </si>
  <si>
    <t>Charlton, MA  01507</t>
  </si>
  <si>
    <t>Attn: Accounts Payable</t>
  </si>
  <si>
    <t xml:space="preserve">   Mechanical Room (215 sq ft)</t>
  </si>
  <si>
    <t>Total Capacity gpd Bld 2A</t>
  </si>
  <si>
    <t>2B</t>
  </si>
  <si>
    <t>BOS Retail 1, LLC - Bldg 2B</t>
  </si>
  <si>
    <t>20)</t>
  </si>
  <si>
    <t>2B - Vacant</t>
  </si>
  <si>
    <t>60 Andrew (space 10)</t>
  </si>
  <si>
    <t>21)</t>
  </si>
  <si>
    <t>66 Andrew (space 30)</t>
  </si>
  <si>
    <t>22)</t>
  </si>
  <si>
    <t>70 Andrew (space 40)</t>
  </si>
  <si>
    <t xml:space="preserve">   Ace Hardware</t>
  </si>
  <si>
    <t>23)</t>
  </si>
  <si>
    <t>80 Andrew (space 50)</t>
  </si>
  <si>
    <t xml:space="preserve">   Wayside Gourmet</t>
  </si>
  <si>
    <t>24)</t>
  </si>
  <si>
    <t>84 Andrew (space 60)</t>
  </si>
  <si>
    <t xml:space="preserve">   Medpost (Urgent Care Facility)</t>
  </si>
  <si>
    <t xml:space="preserve">   Expected Opening March, 2016</t>
  </si>
  <si>
    <t>1 Dr and Phy Assist per day.</t>
  </si>
  <si>
    <t xml:space="preserve">   Mechanical Room (200 sq ft)</t>
  </si>
  <si>
    <t>Total Capacity gpd Bldg 2B</t>
  </si>
  <si>
    <t>4A</t>
  </si>
  <si>
    <t>Pad for Future Bldg 4A</t>
  </si>
  <si>
    <t xml:space="preserve">Town Center Design Flow per Title V </t>
  </si>
  <si>
    <t>Notes:</t>
  </si>
  <si>
    <t>Lillian Way - 42 homes at 220 gpd</t>
  </si>
  <si>
    <t>Municipal Pad</t>
  </si>
  <si>
    <t xml:space="preserve">   Total TC Design Flow with all Variables</t>
  </si>
  <si>
    <t>Design Flow allocated to the Town Center</t>
  </si>
  <si>
    <t xml:space="preserve">    Considered part of the capacity for the offices.  No capacity allocated and no billing.</t>
  </si>
  <si>
    <t xml:space="preserve">TC Design Flow per Title V should be </t>
  </si>
  <si>
    <t>32,760 gpd.</t>
  </si>
  <si>
    <t>Possible  Future Adjustments</t>
  </si>
  <si>
    <t>Resolution as of latest date</t>
  </si>
  <si>
    <t>Bldg 4A, 4000sqft@retail</t>
  </si>
  <si>
    <t>Bldg 4A as restaurant@</t>
  </si>
  <si>
    <t>seats</t>
  </si>
  <si>
    <t xml:space="preserve">  10 gpd for 200 lockers).  Title V is Country Club at 20 gpd per locker. There are 230 lockers (146 regular size and 84 1' X 2" small).</t>
  </si>
  <si>
    <t>Medical Care of Boston (BI)</t>
  </si>
  <si>
    <t xml:space="preserve">  Per Manager: Members = Q2 1,650.  Check-in est M/Tu 300/day, W-Su 250/day = 1,850/wk. Julia investingating?</t>
  </si>
  <si>
    <t xml:space="preserve">  (Adding 1 Dr. on 1 July 2016)</t>
  </si>
  <si>
    <t>Still discussing TSI</t>
  </si>
  <si>
    <t>- Yellow Fill Cells are the Capacity for each Wastewater Account number.</t>
  </si>
  <si>
    <t>Still discussing Lauren Craig - Increase</t>
  </si>
  <si>
    <t xml:space="preserve">  to 3 chairs </t>
  </si>
  <si>
    <t>Nail salon as retail vs. beauty salon</t>
  </si>
  <si>
    <t>Billing &amp; Capacity Adjustments</t>
  </si>
  <si>
    <t>#3, 5 &amp; 8) Irrigation Deduction Meters - Use is seasonal.  Deduct gpd from Master Meters.</t>
  </si>
  <si>
    <t>#10</t>
  </si>
  <si>
    <t>Medical Care of Boston</t>
  </si>
  <si>
    <r>
      <rPr>
        <sz val="12"/>
        <color indexed="8"/>
        <rFont val="Calibri"/>
      </rPr>
      <t xml:space="preserve">Bill Capacity for 4 Dr's.  </t>
    </r>
    <r>
      <rPr>
        <sz val="12"/>
        <color indexed="18"/>
        <rFont val="Calibri"/>
      </rPr>
      <t>June 30, 2016</t>
    </r>
    <r>
      <rPr>
        <sz val="12"/>
        <color indexed="8"/>
        <rFont val="Calibri"/>
      </rPr>
      <t xml:space="preserve"> check if 5 Dr's are working daily. </t>
    </r>
  </si>
  <si>
    <t xml:space="preserve">   (Beth Israel)</t>
  </si>
  <si>
    <t>#17</t>
  </si>
  <si>
    <t xml:space="preserve">TSI Wayland </t>
  </si>
  <si>
    <t>To be determined</t>
  </si>
  <si>
    <t xml:space="preserve">   (Boston Sports Club)</t>
  </si>
  <si>
    <t>#18</t>
  </si>
  <si>
    <t>Pediatric Dentist</t>
  </si>
  <si>
    <t xml:space="preserve">Expected opening March, 2016. </t>
  </si>
  <si>
    <t>#24</t>
  </si>
  <si>
    <t>Medpost (Urgent Care)</t>
  </si>
  <si>
    <t>GPD Design Flow</t>
  </si>
  <si>
    <t>Summary by building</t>
  </si>
  <si>
    <t>WWMDC Jan 2016</t>
  </si>
  <si>
    <t>KGI Capacity Aug 2013</t>
  </si>
  <si>
    <t>Wayland Bldg Dpt, 2015Jul14</t>
  </si>
  <si>
    <r>
      <rPr>
        <sz val="10"/>
        <color indexed="8"/>
        <rFont val="Helvetica"/>
      </rPr>
      <t>WWMDC - Bldg Dt</t>
    </r>
  </si>
  <si>
    <t>Notes: see details on WWMDC Assessment 2016 worksheet</t>
  </si>
  <si>
    <t>Stop and Shop</t>
  </si>
  <si>
    <t>Sperry, Antons, Super Cuts, GNC, Vacant, Femiluxe</t>
  </si>
  <si>
    <t>Subway, Orange Leaf</t>
  </si>
  <si>
    <t>Takara, vacant (was Petco), Orthodontics</t>
  </si>
  <si>
    <t>Bertucci’s</t>
  </si>
  <si>
    <t>First floor businesses</t>
  </si>
  <si>
    <t>Apartments on second floor</t>
  </si>
  <si>
    <t>Panera</t>
  </si>
  <si>
    <t>Middlesex Bank, The Local</t>
  </si>
  <si>
    <t>Medical</t>
  </si>
  <si>
    <t xml:space="preserve">Sports Club using 230 lockers at 20 gpd </t>
  </si>
  <si>
    <t>Ace Hardware, Wayside Gourmet, future Medpost Urgent Care</t>
  </si>
  <si>
    <t>Total</t>
  </si>
  <si>
    <t>Bld Dpt #'s include Future 4A and Other Capacity.</t>
  </si>
  <si>
    <t>Lillian Way</t>
  </si>
  <si>
    <t>42 condos @ 220 gpd</t>
  </si>
  <si>
    <t>Grand Total</t>
  </si>
  <si>
    <t>Revisions</t>
  </si>
  <si>
    <t>TBD through discussion</t>
  </si>
  <si>
    <t>Revised total</t>
  </si>
  <si>
    <t>KGI excluded Lillian Way condos, for which they were going to build a 9900 gpd additional leaching field.  This leaching field was never built.</t>
  </si>
  <si>
    <t>Color key</t>
  </si>
  <si>
    <t>Way under</t>
  </si>
  <si>
    <t>Way over</t>
  </si>
  <si>
    <t>Approx. agreement</t>
  </si>
  <si>
    <t>Wayland WWMDC</t>
  </si>
  <si>
    <t>New Usage Readings for Town Center</t>
  </si>
  <si>
    <t>History: 2013 July 28, revised 2013 July 31 to add meter readings, revised on 9 Aug 2013 to add 2013 Aug 2 water readings, format change on 2013 Aug 11</t>
  </si>
  <si>
    <t xml:space="preserve">Summary: Overall water usage, as a measure of wastewater flow, is 35% of Title V design capacity of 14,034 gpd. </t>
  </si>
  <si>
    <t>BLDG</t>
  </si>
  <si>
    <t>Title V Capacity (gpd)</t>
  </si>
  <si>
    <t>Measuring period</t>
  </si>
  <si>
    <t xml:space="preserve">Usage (gpd) ^ </t>
  </si>
  <si>
    <t>Fraction of Title V</t>
  </si>
  <si>
    <t>Space/Tenant</t>
  </si>
  <si>
    <t>SF</t>
  </si>
  <si>
    <t>Use</t>
  </si>
  <si>
    <t>Calculation</t>
  </si>
  <si>
    <t>Read</t>
  </si>
  <si>
    <t>Water readings</t>
  </si>
  <si>
    <t xml:space="preserve">Fraction of Title V </t>
  </si>
  <si>
    <t>Not open yet</t>
  </si>
  <si>
    <t>dates</t>
  </si>
  <si>
    <t>All open businesses</t>
  </si>
  <si>
    <t>No usage</t>
  </si>
  <si>
    <t>Beth Isreal</t>
  </si>
  <si>
    <t>@</t>
  </si>
  <si>
    <t>GPD/Doctor</t>
  </si>
  <si>
    <t>Joint Venture</t>
  </si>
  <si>
    <t>Retail</t>
  </si>
  <si>
    <t>GPD/1K SF</t>
  </si>
  <si>
    <t>Spec Tenant - Office</t>
  </si>
  <si>
    <t>Spec Tenant - Medical</t>
  </si>
  <si>
    <t>Other</t>
  </si>
  <si>
    <t xml:space="preserve">  Building Total</t>
  </si>
  <si>
    <t>Spec Tenant</t>
  </si>
  <si>
    <t>May-Aug'13</t>
  </si>
  <si>
    <t>Anton's</t>
  </si>
  <si>
    <t>Cleaners</t>
  </si>
  <si>
    <t>Supercuts</t>
  </si>
  <si>
    <t>Salon Chair</t>
  </si>
  <si>
    <t>GPD/Chair</t>
  </si>
  <si>
    <t>Doing fine</t>
  </si>
  <si>
    <t>GNC</t>
  </si>
  <si>
    <t>Lux</t>
  </si>
  <si>
    <t>Mechanical Room</t>
  </si>
  <si>
    <t>Wine &amp; Cheese</t>
  </si>
  <si>
    <t>Wine Store</t>
  </si>
  <si>
    <t>Jul-Aug'13</t>
  </si>
  <si>
    <t>Restaurant - Subway</t>
  </si>
  <si>
    <t>Fast Food</t>
  </si>
  <si>
    <t>GPD/seat</t>
  </si>
  <si>
    <t>Orange Leaf Yogurt</t>
  </si>
  <si>
    <t>Using too much water</t>
  </si>
  <si>
    <t>Irrigation subtracted</t>
  </si>
  <si>
    <t>Town Center Ortho</t>
  </si>
  <si>
    <t>No read</t>
  </si>
  <si>
    <t>Pet-co</t>
  </si>
  <si>
    <t>meter repaired</t>
  </si>
  <si>
    <t>Takara</t>
  </si>
  <si>
    <t>Restaurant</t>
  </si>
  <si>
    <t>Using way too much water</t>
  </si>
  <si>
    <t>Nov'12-Aug'13</t>
  </si>
  <si>
    <t>Restaurant - Bertucci's</t>
  </si>
  <si>
    <t>Salon</t>
  </si>
  <si>
    <t>Why is use increasing?</t>
  </si>
  <si>
    <t>Elements</t>
  </si>
  <si>
    <t>How many businesses are open?</t>
  </si>
  <si>
    <t xml:space="preserve">  Subtotal</t>
  </si>
  <si>
    <t>12 Apartments</t>
  </si>
  <si>
    <t>Residential</t>
  </si>
  <si>
    <t>GPD/Bedroom</t>
  </si>
  <si>
    <t>Coffee (Panera)</t>
  </si>
  <si>
    <t>Middlesex Savings</t>
  </si>
  <si>
    <t>Final Opened 2013 06 10</t>
  </si>
  <si>
    <t>See formula for irrigation subtraction</t>
  </si>
  <si>
    <t>Too high</t>
  </si>
  <si>
    <t>Need to monitor this</t>
  </si>
  <si>
    <t>4C</t>
  </si>
  <si>
    <t>Fitness</t>
  </si>
  <si>
    <t>Stop &amp; Shop</t>
  </si>
  <si>
    <t>Supermarket</t>
  </si>
  <si>
    <t>Doing fine; Shows consistency</t>
  </si>
  <si>
    <t>Total Wastewater Connection</t>
  </si>
  <si>
    <t>Residential Capacity</t>
  </si>
  <si>
    <t>Total Per WWMDC</t>
  </si>
  <si>
    <t>^ See formula to determine usage calculation.</t>
  </si>
  <si>
    <t xml:space="preserve">Data From Attachment A Zoning Summary - 12/10/14 </t>
  </si>
  <si>
    <t>Building 2F - Individual Apartment Information</t>
  </si>
  <si>
    <t>Capacity</t>
  </si>
  <si>
    <t>Sq Ft</t>
  </si>
  <si>
    <t>Criteria</t>
  </si>
  <si>
    <t>GPD</t>
  </si>
  <si>
    <t>Bedrooms</t>
  </si>
  <si>
    <t>Building 2F Variance in Square Feet</t>
  </si>
  <si>
    <r>
      <rPr>
        <sz val="12"/>
        <color indexed="8"/>
        <rFont val="Calibri"/>
      </rPr>
      <t xml:space="preserve">   </t>
    </r>
    <r>
      <rPr>
        <u/>
        <sz val="12"/>
        <color indexed="8"/>
        <rFont val="Calibri"/>
      </rPr>
      <t>Second Floor:</t>
    </r>
  </si>
  <si>
    <t xml:space="preserve">   Apartment - 201</t>
  </si>
  <si>
    <t>Wastewater</t>
  </si>
  <si>
    <t>Bld Dept</t>
  </si>
  <si>
    <t>Variance</t>
  </si>
  <si>
    <t xml:space="preserve">   Apartment - 202</t>
  </si>
  <si>
    <t>1st Floor</t>
  </si>
  <si>
    <t xml:space="preserve">   Apartment - 203</t>
  </si>
  <si>
    <t>Stairs, etc.</t>
  </si>
  <si>
    <t xml:space="preserve">   Apartment - 204</t>
  </si>
  <si>
    <t xml:space="preserve">   Apartment - 205</t>
  </si>
  <si>
    <t xml:space="preserve">   Apartment - 206</t>
  </si>
  <si>
    <t>2nd Floor</t>
  </si>
  <si>
    <t xml:space="preserve">   Apartment - 207</t>
  </si>
  <si>
    <t>Stairs, etc</t>
  </si>
  <si>
    <t xml:space="preserve">   Apartment - 208</t>
  </si>
  <si>
    <t xml:space="preserve">   Apartment - 209</t>
  </si>
  <si>
    <t xml:space="preserve">   Apartment - 210</t>
  </si>
  <si>
    <t>Total Bld 2F sqft</t>
  </si>
  <si>
    <t xml:space="preserve">   Apartment - 211</t>
  </si>
  <si>
    <t xml:space="preserve">   Apartment - 212</t>
  </si>
  <si>
    <t xml:space="preserve">Wastewater's numbers are from Attachment A, Zoning </t>
  </si>
  <si>
    <t xml:space="preserve">        Total</t>
  </si>
  <si>
    <t xml:space="preserve">   Board Summary - 12/10/14</t>
  </si>
  <si>
    <t xml:space="preserve">      Corridor &amp; Stair (3,442 sq ft)</t>
  </si>
  <si>
    <t>Rentable Sq Ft per</t>
  </si>
  <si>
    <t xml:space="preserve">National Dev. = </t>
  </si>
  <si>
    <t>Category? Beauty Salon: 100 gpd per chair</t>
  </si>
  <si>
    <t xml:space="preserve">   Unused Design Flow </t>
  </si>
  <si>
    <t>Updated 2/25/2016</t>
  </si>
  <si>
    <r>
      <t xml:space="preserve">- </t>
    </r>
    <r>
      <rPr>
        <b/>
        <sz val="12"/>
        <color indexed="8"/>
        <rFont val="Calibri"/>
      </rPr>
      <t>Medical Office Building - Common Space, 2nd floor bathroom.</t>
    </r>
    <r>
      <rPr>
        <sz val="12"/>
        <color indexed="8"/>
        <rFont val="Calibri"/>
      </rPr>
      <t xml:space="preserve">  FY2016 water use Q1 18 gpd, Q2 25 gpd.  1/13/16 Wastewater Board meeting -</t>
    </r>
  </si>
  <si>
    <r>
      <t xml:space="preserve">-  </t>
    </r>
    <r>
      <rPr>
        <b/>
        <sz val="12"/>
        <color rgb="FFFF0000"/>
        <rFont val="Calibri"/>
        <family val="2"/>
      </rPr>
      <t>Femiluxe Nail Salon</t>
    </r>
    <r>
      <rPr>
        <sz val="12"/>
        <color rgb="FFFF0000"/>
        <rFont val="Calibri"/>
        <family val="2"/>
      </rPr>
      <t xml:space="preserve"> - Currently listed as retail based on sq ft.  What category should this be?</t>
    </r>
  </si>
  <si>
    <t>None applied for</t>
  </si>
  <si>
    <t>Leave at 2000 gpd, no decrease</t>
  </si>
  <si>
    <t>Leave at 600 gpd, no increase</t>
  </si>
  <si>
    <t>Leave at 65 gpd assuming retail</t>
  </si>
  <si>
    <t xml:space="preserve">   8 pedicure chairs. BOH &amp; DEP decision?</t>
  </si>
  <si>
    <t>Opened with 3 doctors. Currently  4 doctors.</t>
  </si>
  <si>
    <t>Negotiate with Retail 1. July 5 Dr's?</t>
  </si>
  <si>
    <r>
      <t xml:space="preserve">- </t>
    </r>
    <r>
      <rPr>
        <b/>
        <sz val="12"/>
        <color indexed="8"/>
        <rFont val="Calibri"/>
      </rPr>
      <t>Medical Care of Boston (BI)</t>
    </r>
    <r>
      <rPr>
        <sz val="12"/>
        <color indexed="8"/>
        <rFont val="Calibri"/>
      </rPr>
      <t xml:space="preserve"> - Per Fred: Use 250 gpd/4 Dr's FY2016.  FY2017/Q1 use 250 gpd/5 Dr's. Check status. Negotiate with BOS Retail 1.</t>
    </r>
  </si>
  <si>
    <r>
      <t xml:space="preserve">- </t>
    </r>
    <r>
      <rPr>
        <b/>
        <sz val="12"/>
        <color indexed="8"/>
        <rFont val="Calibri"/>
      </rPr>
      <t>Square Feet</t>
    </r>
    <r>
      <rPr>
        <sz val="12"/>
        <color indexed="8"/>
        <rFont val="Calibri"/>
      </rPr>
      <t xml:space="preserve"> base on combination of BOH/Bld Dpt numbers from 7/14/15 Wayland town Center - Wastewater Summary and KGI numbers 12/10/2014.</t>
    </r>
  </si>
  <si>
    <r>
      <t xml:space="preserve">- </t>
    </r>
    <r>
      <rPr>
        <b/>
        <sz val="12"/>
        <color indexed="8"/>
        <rFont val="Calibri"/>
      </rPr>
      <t xml:space="preserve">Vacant Properties </t>
    </r>
    <r>
      <rPr>
        <sz val="12"/>
        <color indexed="8"/>
        <rFont val="Calibri"/>
      </rPr>
      <t>based on Title V Establishment Type as Retail at 50 gpd/1,000 sq ft. or Office at 75 gpd/1,000 sqft.</t>
    </r>
  </si>
  <si>
    <r>
      <t xml:space="preserve">- </t>
    </r>
    <r>
      <rPr>
        <b/>
        <sz val="12"/>
        <color indexed="8"/>
        <rFont val="Calibri"/>
      </rPr>
      <t>Doctors &amp; Dentists</t>
    </r>
    <r>
      <rPr>
        <sz val="12"/>
        <color indexed="8"/>
        <rFont val="Calibri"/>
      </rPr>
      <t xml:space="preserve"> - Based on the number of doctors working per day.</t>
    </r>
  </si>
  <si>
    <r>
      <t xml:space="preserve">- </t>
    </r>
    <r>
      <rPr>
        <b/>
        <sz val="12"/>
        <color indexed="8"/>
        <rFont val="Calibri"/>
      </rPr>
      <t xml:space="preserve">Restaurants </t>
    </r>
    <r>
      <rPr>
        <sz val="12"/>
        <color indexed="8"/>
        <rFont val="Calibri"/>
      </rPr>
      <t>are based on the number of seats listed on the Certificate of Inspection. Patio seating included for The Local, Bertucci's and Panera.</t>
    </r>
  </si>
  <si>
    <r>
      <t xml:space="preserve">- </t>
    </r>
    <r>
      <rPr>
        <b/>
        <sz val="12"/>
        <color indexed="8"/>
        <rFont val="Calibri"/>
      </rPr>
      <t>Unused Capacity</t>
    </r>
    <r>
      <rPr>
        <sz val="12"/>
        <color indexed="8"/>
        <rFont val="Calibri"/>
      </rPr>
      <t xml:space="preserve"> - From BOH/Bld Dpt Summary 7/14/15 of 389 (200, 33, 156).  Per Geoff, unused capacity from the original calculations in 2014. Don't use.</t>
    </r>
  </si>
  <si>
    <r>
      <t xml:space="preserve">- </t>
    </r>
    <r>
      <rPr>
        <b/>
        <sz val="12"/>
        <color indexed="10"/>
        <rFont val="Calibri"/>
      </rPr>
      <t>Boston Sports Club</t>
    </r>
    <r>
      <rPr>
        <sz val="12"/>
        <color indexed="10"/>
        <rFont val="Calibri"/>
      </rPr>
      <t xml:space="preserve">-Water use FY15 Q4 658 gpd, FY16 Q1 577 gpd and Q2 667 gpd. BOH/Bld Dpt used 2,000 gpd approved by the DEP (Country Club at </t>
    </r>
  </si>
  <si>
    <r>
      <t>-</t>
    </r>
    <r>
      <rPr>
        <b/>
        <sz val="12"/>
        <color indexed="10"/>
        <rFont val="Calibri"/>
      </rPr>
      <t xml:space="preserve"> Lauren Craig</t>
    </r>
    <r>
      <rPr>
        <sz val="12"/>
        <color indexed="10"/>
        <rFont val="Calibri"/>
      </rPr>
      <t xml:space="preserve"> - Bld Dpt shows 6 stylist chairs.  They also have 3 chairs for applying hair color.  Julia says use 6 chairs. 2/9/16 she is checking with the DEP.</t>
    </r>
  </si>
  <si>
    <r>
      <t xml:space="preserve">- </t>
    </r>
    <r>
      <rPr>
        <b/>
        <sz val="12"/>
        <color indexed="8"/>
        <rFont val="Calibri"/>
      </rPr>
      <t>Pad for Future Bldg 4A, 4,000 sq ft</t>
    </r>
    <r>
      <rPr>
        <sz val="12"/>
        <color indexed="8"/>
        <rFont val="Calibri"/>
      </rPr>
      <t xml:space="preserve"> - Future capacity needs.  Not included in the above calculations.</t>
    </r>
  </si>
  <si>
    <t>Future use.  No Design Flow now.</t>
  </si>
  <si>
    <t xml:space="preserve">   with Retail 1</t>
  </si>
  <si>
    <t>Leave at 4 doctors and negotiate</t>
  </si>
  <si>
    <t>Unused Design Flow</t>
  </si>
  <si>
    <t>Based on 2/25/16 Capacity Spreadsheet</t>
  </si>
  <si>
    <t>Town Center Design Flow-Summary by Building</t>
  </si>
  <si>
    <t>BOH/Bld Dpt agree to 4,200 gpd/120 seats</t>
  </si>
  <si>
    <t>BOH/Bld Dept agree to 480 gpd/24 seats</t>
  </si>
  <si>
    <t>Rounding</t>
  </si>
  <si>
    <r>
      <t xml:space="preserve">- </t>
    </r>
    <r>
      <rPr>
        <b/>
        <sz val="12"/>
        <color indexed="8"/>
        <rFont val="Calibri"/>
        <family val="2"/>
      </rPr>
      <t>Total Design Flow</t>
    </r>
    <r>
      <rPr>
        <sz val="12"/>
        <color indexed="8"/>
        <rFont val="Calibri"/>
        <family val="2"/>
      </rPr>
      <t xml:space="preserve"> according to the DEP is 44,978 gpd.</t>
    </r>
  </si>
  <si>
    <t>design flow. Not included here.</t>
  </si>
  <si>
    <t xml:space="preserve">BOH/Bld Dpt listed 388 gpd as unused </t>
  </si>
  <si>
    <t>Future 4A</t>
  </si>
  <si>
    <t>Pad for Future Construction. Listed as retail by BOH/Bld Dpt</t>
  </si>
  <si>
    <t>DRAFT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</si>
</sst>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&quot;;&quot; &quot;* \(#,##0\);&quot; &quot;* &quot;-&quot;??&quot; &quot;"/>
    <numFmt numFmtId="165" formatCode="0.00&quot; &quot;;\(0.00\)"/>
    <numFmt numFmtId="166" formatCode="#,##0&quot; &quot;;\(#,##0\)"/>
    <numFmt numFmtId="167" formatCode="0&quot; &quot;;\(0\)"/>
    <numFmt numFmtId="168" formatCode="0.0&quot; &quot;;\(0.0\)"/>
  </numFmts>
  <fonts count="44" x14ac:knownFonts="1">
    <font>
      <sz val="12"/>
      <color indexed="8"/>
      <name val="Verdana"/>
    </font>
    <font>
      <sz val="12"/>
      <color indexed="8"/>
      <name val="Verdana"/>
    </font>
    <font>
      <sz val="11"/>
      <color indexed="8"/>
      <name val="Calibri"/>
    </font>
    <font>
      <b/>
      <sz val="14"/>
      <color indexed="8"/>
      <name val="Calibri"/>
    </font>
    <font>
      <b/>
      <sz val="12"/>
      <color indexed="8"/>
      <name val="Calibri"/>
    </font>
    <font>
      <sz val="12"/>
      <color indexed="8"/>
      <name val="Calibri"/>
    </font>
    <font>
      <b/>
      <sz val="12"/>
      <color indexed="10"/>
      <name val="Calibri"/>
    </font>
    <font>
      <b/>
      <u/>
      <sz val="12"/>
      <color indexed="8"/>
      <name val="Calibri"/>
    </font>
    <font>
      <u/>
      <sz val="12"/>
      <color indexed="8"/>
      <name val="Calibri"/>
    </font>
    <font>
      <sz val="12"/>
      <color indexed="10"/>
      <name val="Calibri"/>
    </font>
    <font>
      <sz val="11"/>
      <color indexed="10"/>
      <name val="Calibri"/>
    </font>
    <font>
      <sz val="12"/>
      <color indexed="14"/>
      <name val="Calibri"/>
    </font>
    <font>
      <sz val="10"/>
      <color indexed="8"/>
      <name val="Arial"/>
    </font>
    <font>
      <sz val="12"/>
      <color indexed="15"/>
      <name val="Calibri"/>
    </font>
    <font>
      <sz val="12"/>
      <color indexed="8"/>
      <name val="Trebuchet MS"/>
    </font>
    <font>
      <sz val="12"/>
      <color indexed="8"/>
      <name val="Arial"/>
    </font>
    <font>
      <sz val="12"/>
      <color indexed="18"/>
      <name val="Calibri"/>
    </font>
    <font>
      <sz val="10"/>
      <color indexed="8"/>
      <name val="Helvetica"/>
    </font>
    <font>
      <sz val="10"/>
      <color indexed="8"/>
      <name val="Calibri"/>
    </font>
    <font>
      <sz val="14"/>
      <color indexed="8"/>
      <name val="Calibri"/>
    </font>
    <font>
      <sz val="14"/>
      <color indexed="8"/>
      <name val="Arial"/>
    </font>
    <font>
      <b/>
      <sz val="16"/>
      <color indexed="10"/>
      <name val="Calibri"/>
    </font>
    <font>
      <b/>
      <sz val="16"/>
      <color indexed="8"/>
      <name val="Calibri"/>
    </font>
    <font>
      <sz val="14"/>
      <color indexed="10"/>
      <name val="Calibri"/>
    </font>
    <font>
      <sz val="14"/>
      <color indexed="10"/>
      <name val="Arial"/>
    </font>
    <font>
      <b/>
      <u/>
      <sz val="11"/>
      <color indexed="8"/>
      <name val="Calibri"/>
    </font>
    <font>
      <sz val="10"/>
      <color indexed="8"/>
      <name val="Arial Bold"/>
    </font>
    <font>
      <u/>
      <sz val="11"/>
      <color indexed="8"/>
      <name val="Calibri"/>
    </font>
    <font>
      <b/>
      <sz val="11"/>
      <color indexed="8"/>
      <name val="Calibri"/>
    </font>
    <font>
      <sz val="10"/>
      <color indexed="10"/>
      <name val="Arial"/>
    </font>
    <font>
      <sz val="11"/>
      <color indexed="27"/>
      <name val="Calibri"/>
    </font>
    <font>
      <sz val="11"/>
      <color indexed="8"/>
      <name val="Arial Bold"/>
    </font>
    <font>
      <b/>
      <sz val="14"/>
      <color indexed="10"/>
      <name val="Calibri"/>
    </font>
    <font>
      <sz val="14"/>
      <color indexed="10"/>
      <name val="Arial Bold"/>
    </font>
    <font>
      <u/>
      <sz val="14"/>
      <color indexed="10"/>
      <name val="Calibri"/>
    </font>
    <font>
      <u/>
      <sz val="14"/>
      <color indexed="18"/>
      <name val="Calibri"/>
    </font>
    <font>
      <sz val="12"/>
      <color rgb="FFFF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rgb="FFFF0000"/>
      <name val="Calibri"/>
      <family val="2"/>
    </font>
    <font>
      <sz val="12"/>
      <color indexed="10"/>
      <name val="Calibri"/>
      <family val="2"/>
    </font>
    <font>
      <sz val="10"/>
      <color indexed="8"/>
      <name val="Calibri"/>
      <family val="2"/>
    </font>
    <font>
      <sz val="10"/>
      <color indexed="8"/>
      <name val="Helvetica"/>
      <family val="2"/>
    </font>
  </fonts>
  <fills count="1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9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/>
    <xf numFmtId="0" fontId="3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/>
    <xf numFmtId="1" fontId="1" fillId="0" borderId="1" xfId="0" applyNumberFormat="1" applyFont="1" applyBorder="1" applyAlignment="1"/>
    <xf numFmtId="1" fontId="1" fillId="0" borderId="1" xfId="0" applyNumberFormat="1" applyFont="1" applyBorder="1" applyAlignment="1">
      <alignment vertical="top" wrapText="1"/>
    </xf>
    <xf numFmtId="1" fontId="2" fillId="0" borderId="2" xfId="0" applyNumberFormat="1" applyFont="1" applyBorder="1" applyAlignment="1"/>
    <xf numFmtId="1" fontId="4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5" fillId="0" borderId="2" xfId="0" applyNumberFormat="1" applyFont="1" applyBorder="1" applyAlignment="1"/>
    <xf numFmtId="1" fontId="7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wrapText="1"/>
    </xf>
    <xf numFmtId="1" fontId="4" fillId="2" borderId="3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 wrapText="1"/>
    </xf>
    <xf numFmtId="0" fontId="4" fillId="3" borderId="5" xfId="0" applyNumberFormat="1" applyFont="1" applyFill="1" applyBorder="1" applyAlignment="1">
      <alignment horizontal="center" wrapText="1"/>
    </xf>
    <xf numFmtId="0" fontId="4" fillId="3" borderId="3" xfId="0" applyNumberFormat="1" applyFont="1" applyFill="1" applyBorder="1" applyAlignment="1">
      <alignment horizontal="center" wrapText="1"/>
    </xf>
    <xf numFmtId="0" fontId="4" fillId="3" borderId="6" xfId="0" applyNumberFormat="1" applyFont="1" applyFill="1" applyBorder="1" applyAlignment="1">
      <alignment wrapText="1"/>
    </xf>
    <xf numFmtId="0" fontId="4" fillId="3" borderId="1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wrapText="1"/>
    </xf>
    <xf numFmtId="1" fontId="5" fillId="0" borderId="7" xfId="0" applyNumberFormat="1" applyFont="1" applyBorder="1" applyAlignment="1"/>
    <xf numFmtId="1" fontId="5" fillId="0" borderId="7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/>
    <xf numFmtId="0" fontId="5" fillId="0" borderId="1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/>
    <xf numFmtId="164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4" borderId="2" xfId="0" applyNumberFormat="1" applyFont="1" applyFill="1" applyBorder="1" applyAlignment="1"/>
    <xf numFmtId="164" fontId="5" fillId="4" borderId="2" xfId="0" applyNumberFormat="1" applyFont="1" applyFill="1" applyBorder="1" applyAlignment="1">
      <alignment horizontal="left"/>
    </xf>
    <xf numFmtId="1" fontId="5" fillId="4" borderId="2" xfId="0" applyNumberFormat="1" applyFont="1" applyFill="1" applyBorder="1" applyAlignment="1"/>
    <xf numFmtId="14" fontId="5" fillId="0" borderId="1" xfId="0" applyNumberFormat="1" applyFont="1" applyBorder="1" applyAlignment="1">
      <alignment horizontal="center"/>
    </xf>
    <xf numFmtId="164" fontId="5" fillId="0" borderId="7" xfId="0" applyNumberFormat="1" applyFont="1" applyBorder="1" applyAlignment="1"/>
    <xf numFmtId="164" fontId="5" fillId="0" borderId="7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left"/>
    </xf>
    <xf numFmtId="164" fontId="5" fillId="0" borderId="2" xfId="0" applyNumberFormat="1" applyFont="1" applyBorder="1" applyAlignment="1"/>
    <xf numFmtId="164" fontId="6" fillId="0" borderId="7" xfId="0" applyNumberFormat="1" applyFont="1" applyBorder="1" applyAlignment="1">
      <alignment wrapText="1"/>
    </xf>
    <xf numFmtId="1" fontId="5" fillId="0" borderId="1" xfId="0" applyNumberFormat="1" applyFont="1" applyBorder="1" applyAlignment="1">
      <alignment horizontal="right"/>
    </xf>
    <xf numFmtId="164" fontId="5" fillId="4" borderId="2" xfId="0" applyNumberFormat="1" applyFont="1" applyFill="1" applyBorder="1" applyAlignment="1">
      <alignment horizontal="center" wrapText="1"/>
    </xf>
    <xf numFmtId="164" fontId="5" fillId="4" borderId="2" xfId="0" applyNumberFormat="1" applyFont="1" applyFill="1" applyBorder="1" applyAlignment="1">
      <alignment wrapText="1"/>
    </xf>
    <xf numFmtId="164" fontId="5" fillId="0" borderId="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9" fillId="0" borderId="7" xfId="0" applyNumberFormat="1" applyFont="1" applyBorder="1" applyAlignment="1"/>
    <xf numFmtId="164" fontId="5" fillId="4" borderId="2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/>
    <xf numFmtId="0" fontId="9" fillId="0" borderId="1" xfId="0" applyNumberFormat="1" applyFont="1" applyBorder="1" applyAlignment="1"/>
    <xf numFmtId="164" fontId="9" fillId="0" borderId="7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/>
    </xf>
    <xf numFmtId="164" fontId="2" fillId="0" borderId="7" xfId="0" applyNumberFormat="1" applyFont="1" applyBorder="1" applyAlignment="1"/>
    <xf numFmtId="1" fontId="9" fillId="0" borderId="1" xfId="0" applyNumberFormat="1" applyFont="1" applyBorder="1" applyAlignment="1"/>
    <xf numFmtId="164" fontId="9" fillId="0" borderId="1" xfId="0" applyNumberFormat="1" applyFont="1" applyBorder="1" applyAlignment="1"/>
    <xf numFmtId="164" fontId="2" fillId="0" borderId="1" xfId="0" applyNumberFormat="1" applyFont="1" applyBorder="1" applyAlignment="1"/>
    <xf numFmtId="165" fontId="2" fillId="0" borderId="1" xfId="0" applyNumberFormat="1" applyFont="1" applyBorder="1" applyAlignment="1"/>
    <xf numFmtId="165" fontId="5" fillId="0" borderId="1" xfId="0" applyNumberFormat="1" applyFont="1" applyBorder="1" applyAlignment="1"/>
    <xf numFmtId="164" fontId="6" fillId="0" borderId="7" xfId="0" applyNumberFormat="1" applyFont="1" applyBorder="1" applyAlignment="1"/>
    <xf numFmtId="1" fontId="1" fillId="0" borderId="7" xfId="0" applyNumberFormat="1" applyFont="1" applyBorder="1" applyAlignment="1"/>
    <xf numFmtId="164" fontId="5" fillId="4" borderId="8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/>
    <xf numFmtId="165" fontId="9" fillId="0" borderId="1" xfId="0" applyNumberFormat="1" applyFont="1" applyBorder="1" applyAlignment="1"/>
    <xf numFmtId="164" fontId="5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/>
    <xf numFmtId="0" fontId="8" fillId="0" borderId="1" xfId="0" applyNumberFormat="1" applyFont="1" applyBorder="1" applyAlignment="1"/>
    <xf numFmtId="165" fontId="9" fillId="0" borderId="1" xfId="0" applyNumberFormat="1" applyFont="1" applyBorder="1" applyAlignment="1">
      <alignment wrapText="1"/>
    </xf>
    <xf numFmtId="164" fontId="9" fillId="0" borderId="2" xfId="0" applyNumberFormat="1" applyFont="1" applyBorder="1" applyAlignment="1">
      <alignment horizontal="center"/>
    </xf>
    <xf numFmtId="164" fontId="5" fillId="4" borderId="1" xfId="0" applyNumberFormat="1" applyFont="1" applyFill="1" applyBorder="1" applyAlignment="1"/>
    <xf numFmtId="164" fontId="5" fillId="4" borderId="1" xfId="0" applyNumberFormat="1" applyFont="1" applyFill="1" applyBorder="1" applyAlignment="1">
      <alignment horizontal="left"/>
    </xf>
    <xf numFmtId="1" fontId="5" fillId="4" borderId="1" xfId="0" applyNumberFormat="1" applyFont="1" applyFill="1" applyBorder="1" applyAlignment="1"/>
    <xf numFmtId="164" fontId="5" fillId="0" borderId="9" xfId="0" applyNumberFormat="1" applyFont="1" applyBorder="1" applyAlignment="1">
      <alignment horizontal="center"/>
    </xf>
    <xf numFmtId="164" fontId="5" fillId="4" borderId="10" xfId="0" applyNumberFormat="1" applyFont="1" applyFill="1" applyBorder="1" applyAlignment="1"/>
    <xf numFmtId="164" fontId="5" fillId="4" borderId="8" xfId="0" applyNumberFormat="1" applyFont="1" applyFill="1" applyBorder="1" applyAlignment="1"/>
    <xf numFmtId="166" fontId="5" fillId="4" borderId="8" xfId="0" applyNumberFormat="1" applyFont="1" applyFill="1" applyBorder="1" applyAlignment="1"/>
    <xf numFmtId="164" fontId="11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/>
    <xf numFmtId="0" fontId="10" fillId="0" borderId="1" xfId="0" applyNumberFormat="1" applyFont="1" applyBorder="1" applyAlignment="1"/>
    <xf numFmtId="165" fontId="5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vertical="top" wrapText="1"/>
    </xf>
    <xf numFmtId="0" fontId="13" fillId="0" borderId="1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/>
    <xf numFmtId="1" fontId="4" fillId="0" borderId="1" xfId="0" applyNumberFormat="1" applyFont="1" applyBorder="1" applyAlignment="1"/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horizontal="center"/>
    </xf>
    <xf numFmtId="164" fontId="5" fillId="0" borderId="11" xfId="0" applyNumberFormat="1" applyFont="1" applyBorder="1" applyAlignment="1"/>
    <xf numFmtId="164" fontId="5" fillId="4" borderId="12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/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right"/>
    </xf>
    <xf numFmtId="167" fontId="5" fillId="0" borderId="1" xfId="0" applyNumberFormat="1" applyFont="1" applyBorder="1" applyAlignment="1">
      <alignment horizontal="right" wrapText="1"/>
    </xf>
    <xf numFmtId="165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167" fontId="5" fillId="4" borderId="8" xfId="0" applyNumberFormat="1" applyFont="1" applyFill="1" applyBorder="1" applyAlignment="1"/>
    <xf numFmtId="167" fontId="5" fillId="0" borderId="7" xfId="0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4" fillId="0" borderId="1" xfId="0" applyNumberFormat="1" applyFont="1" applyBorder="1" applyAlignment="1"/>
    <xf numFmtId="164" fontId="9" fillId="0" borderId="8" xfId="0" applyNumberFormat="1" applyFont="1" applyBorder="1" applyAlignme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167" fontId="2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>
      <alignment horizontal="left"/>
    </xf>
    <xf numFmtId="0" fontId="16" fillId="0" borderId="1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1" fillId="0" borderId="13" xfId="0" applyNumberFormat="1" applyFont="1" applyBorder="1" applyAlignment="1">
      <alignment vertical="top" wrapText="1"/>
    </xf>
    <xf numFmtId="1" fontId="1" fillId="0" borderId="14" xfId="0" applyNumberFormat="1" applyFont="1" applyBorder="1" applyAlignment="1">
      <alignment vertical="top" wrapText="1"/>
    </xf>
    <xf numFmtId="1" fontId="1" fillId="0" borderId="15" xfId="0" applyNumberFormat="1" applyFont="1" applyBorder="1" applyAlignment="1">
      <alignment vertical="top" wrapText="1"/>
    </xf>
    <xf numFmtId="1" fontId="1" fillId="0" borderId="16" xfId="0" applyNumberFormat="1" applyFont="1" applyBorder="1" applyAlignment="1">
      <alignment vertical="top" wrapText="1"/>
    </xf>
    <xf numFmtId="0" fontId="17" fillId="0" borderId="3" xfId="0" applyNumberFormat="1" applyFont="1" applyBorder="1" applyAlignment="1">
      <alignment vertical="center" wrapText="1"/>
    </xf>
    <xf numFmtId="1" fontId="17" fillId="5" borderId="3" xfId="0" applyNumberFormat="1" applyFont="1" applyFill="1" applyBorder="1" applyAlignment="1">
      <alignment vertical="center" wrapText="1"/>
    </xf>
    <xf numFmtId="0" fontId="17" fillId="5" borderId="3" xfId="0" applyNumberFormat="1" applyFont="1" applyFill="1" applyBorder="1" applyAlignment="1">
      <alignment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164" fontId="17" fillId="4" borderId="3" xfId="0" applyNumberFormat="1" applyFont="1" applyFill="1" applyBorder="1" applyAlignment="1">
      <alignment vertical="center" wrapText="1"/>
    </xf>
    <xf numFmtId="0" fontId="17" fillId="4" borderId="3" xfId="0" applyNumberFormat="1" applyFont="1" applyFill="1" applyBorder="1" applyAlignment="1">
      <alignment vertical="center" wrapText="1"/>
    </xf>
    <xf numFmtId="0" fontId="18" fillId="6" borderId="3" xfId="0" applyNumberFormat="1" applyFont="1" applyFill="1" applyBorder="1" applyAlignment="1">
      <alignment horizontal="center" vertical="center" wrapText="1"/>
    </xf>
    <xf numFmtId="164" fontId="17" fillId="6" borderId="3" xfId="0" applyNumberFormat="1" applyFont="1" applyFill="1" applyBorder="1" applyAlignment="1">
      <alignment vertical="center" wrapText="1"/>
    </xf>
    <xf numFmtId="0" fontId="17" fillId="6" borderId="3" xfId="0" applyNumberFormat="1" applyFont="1" applyFill="1" applyBorder="1" applyAlignment="1">
      <alignment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vertical="center" wrapText="1"/>
    </xf>
    <xf numFmtId="0" fontId="17" fillId="7" borderId="3" xfId="0" applyNumberFormat="1" applyFont="1" applyFill="1" applyBorder="1" applyAlignment="1">
      <alignment vertical="center" wrapText="1"/>
    </xf>
    <xf numFmtId="1" fontId="17" fillId="0" borderId="3" xfId="0" applyNumberFormat="1" applyFont="1" applyBorder="1" applyAlignment="1">
      <alignment vertical="center" wrapText="1"/>
    </xf>
    <xf numFmtId="1" fontId="17" fillId="7" borderId="3" xfId="0" applyNumberFormat="1" applyFont="1" applyFill="1" applyBorder="1" applyAlignment="1">
      <alignment vertical="center" wrapText="1"/>
    </xf>
    <xf numFmtId="164" fontId="17" fillId="0" borderId="3" xfId="0" applyNumberFormat="1" applyFont="1" applyBorder="1" applyAlignment="1">
      <alignment horizontal="left" vertical="center" wrapText="1"/>
    </xf>
    <xf numFmtId="1" fontId="1" fillId="0" borderId="20" xfId="0" applyNumberFormat="1" applyFont="1" applyBorder="1" applyAlignment="1">
      <alignment vertical="top" wrapText="1"/>
    </xf>
    <xf numFmtId="1" fontId="1" fillId="0" borderId="21" xfId="0" applyNumberFormat="1" applyFont="1" applyBorder="1" applyAlignment="1">
      <alignment vertical="top" wrapText="1"/>
    </xf>
    <xf numFmtId="1" fontId="1" fillId="0" borderId="22" xfId="0" applyNumberFormat="1" applyFont="1" applyBorder="1" applyAlignment="1">
      <alignment vertical="top" wrapText="1"/>
    </xf>
    <xf numFmtId="0" fontId="17" fillId="8" borderId="3" xfId="0" applyNumberFormat="1" applyFont="1" applyFill="1" applyBorder="1" applyAlignment="1">
      <alignment vertical="center" wrapText="1"/>
    </xf>
    <xf numFmtId="1" fontId="1" fillId="0" borderId="23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24" xfId="0" applyNumberFormat="1" applyFont="1" applyBorder="1" applyAlignment="1">
      <alignment horizontal="left"/>
    </xf>
    <xf numFmtId="1" fontId="3" fillId="0" borderId="24" xfId="0" applyNumberFormat="1" applyFont="1" applyBorder="1" applyAlignment="1">
      <alignment horizontal="center"/>
    </xf>
    <xf numFmtId="1" fontId="19" fillId="0" borderId="24" xfId="0" applyNumberFormat="1" applyFont="1" applyBorder="1" applyAlignment="1"/>
    <xf numFmtId="164" fontId="20" fillId="0" borderId="24" xfId="0" applyNumberFormat="1" applyFont="1" applyBorder="1" applyAlignment="1"/>
    <xf numFmtId="9" fontId="20" fillId="0" borderId="24" xfId="0" applyNumberFormat="1" applyFont="1" applyBorder="1" applyAlignment="1"/>
    <xf numFmtId="164" fontId="20" fillId="0" borderId="1" xfId="0" applyNumberFormat="1" applyFont="1" applyBorder="1" applyAlignment="1"/>
    <xf numFmtId="1" fontId="19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3" fillId="9" borderId="25" xfId="0" applyNumberFormat="1" applyFont="1" applyFill="1" applyBorder="1" applyAlignment="1">
      <alignment horizontal="left"/>
    </xf>
    <xf numFmtId="1" fontId="3" fillId="9" borderId="26" xfId="0" applyNumberFormat="1" applyFont="1" applyFill="1" applyBorder="1" applyAlignment="1">
      <alignment horizontal="left"/>
    </xf>
    <xf numFmtId="1" fontId="19" fillId="9" borderId="26" xfId="0" applyNumberFormat="1" applyFont="1" applyFill="1" applyBorder="1" applyAlignment="1"/>
    <xf numFmtId="164" fontId="20" fillId="9" borderId="26" xfId="0" applyNumberFormat="1" applyFont="1" applyFill="1" applyBorder="1" applyAlignment="1"/>
    <xf numFmtId="164" fontId="20" fillId="0" borderId="27" xfId="0" applyNumberFormat="1" applyFont="1" applyBorder="1" applyAlignment="1"/>
    <xf numFmtId="1" fontId="5" fillId="0" borderId="9" xfId="0" applyNumberFormat="1" applyFont="1" applyBorder="1" applyAlignment="1"/>
    <xf numFmtId="1" fontId="5" fillId="0" borderId="27" xfId="0" applyNumberFormat="1" applyFont="1" applyBorder="1" applyAlignment="1"/>
    <xf numFmtId="0" fontId="3" fillId="0" borderId="28" xfId="0" applyNumberFormat="1" applyFont="1" applyBorder="1" applyAlignment="1">
      <alignment horizontal="left"/>
    </xf>
    <xf numFmtId="1" fontId="3" fillId="0" borderId="28" xfId="0" applyNumberFormat="1" applyFont="1" applyBorder="1" applyAlignment="1">
      <alignment horizontal="left"/>
    </xf>
    <xf numFmtId="1" fontId="19" fillId="0" borderId="28" xfId="0" applyNumberFormat="1" applyFont="1" applyBorder="1" applyAlignment="1"/>
    <xf numFmtId="164" fontId="20" fillId="0" borderId="28" xfId="0" applyNumberFormat="1" applyFont="1" applyBorder="1" applyAlignment="1"/>
    <xf numFmtId="9" fontId="20" fillId="0" borderId="28" xfId="0" applyNumberFormat="1" applyFont="1" applyBorder="1" applyAlignment="1"/>
    <xf numFmtId="1" fontId="5" fillId="0" borderId="24" xfId="0" applyNumberFormat="1" applyFont="1" applyBorder="1" applyAlignment="1"/>
    <xf numFmtId="1" fontId="19" fillId="0" borderId="24" xfId="0" applyNumberFormat="1" applyFont="1" applyBorder="1" applyAlignment="1">
      <alignment horizontal="center"/>
    </xf>
    <xf numFmtId="164" fontId="20" fillId="0" borderId="24" xfId="0" applyNumberFormat="1" applyFont="1" applyBorder="1" applyAlignment="1">
      <alignment horizontal="center"/>
    </xf>
    <xf numFmtId="0" fontId="21" fillId="9" borderId="25" xfId="0" applyNumberFormat="1" applyFont="1" applyFill="1" applyBorder="1" applyAlignment="1">
      <alignment horizontal="left"/>
    </xf>
    <xf numFmtId="1" fontId="22" fillId="9" borderId="26" xfId="0" applyNumberFormat="1" applyFont="1" applyFill="1" applyBorder="1" applyAlignment="1">
      <alignment horizontal="left"/>
    </xf>
    <xf numFmtId="1" fontId="23" fillId="9" borderId="26" xfId="0" applyNumberFormat="1" applyFont="1" applyFill="1" applyBorder="1" applyAlignment="1"/>
    <xf numFmtId="164" fontId="24" fillId="9" borderId="26" xfId="0" applyNumberFormat="1" applyFont="1" applyFill="1" applyBorder="1" applyAlignment="1"/>
    <xf numFmtId="9" fontId="24" fillId="9" borderId="26" xfId="0" applyNumberFormat="1" applyFont="1" applyFill="1" applyBorder="1" applyAlignment="1"/>
    <xf numFmtId="1" fontId="23" fillId="9" borderId="26" xfId="0" applyNumberFormat="1" applyFont="1" applyFill="1" applyBorder="1" applyAlignment="1">
      <alignment horizontal="center"/>
    </xf>
    <xf numFmtId="164" fontId="24" fillId="9" borderId="26" xfId="0" applyNumberFormat="1" applyFont="1" applyFill="1" applyBorder="1" applyAlignment="1">
      <alignment horizontal="center"/>
    </xf>
    <xf numFmtId="1" fontId="21" fillId="9" borderId="26" xfId="0" applyNumberFormat="1" applyFont="1" applyFill="1" applyBorder="1" applyAlignment="1">
      <alignment horizontal="left"/>
    </xf>
    <xf numFmtId="1" fontId="5" fillId="0" borderId="28" xfId="0" applyNumberFormat="1" applyFont="1" applyBorder="1" applyAlignment="1"/>
    <xf numFmtId="0" fontId="25" fillId="10" borderId="25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Border="1" applyAlignment="1">
      <alignment vertical="top" wrapText="1"/>
    </xf>
    <xf numFmtId="0" fontId="25" fillId="10" borderId="26" xfId="0" applyNumberFormat="1" applyFont="1" applyFill="1" applyBorder="1" applyAlignment="1">
      <alignment horizontal="center" vertical="center" wrapText="1"/>
    </xf>
    <xf numFmtId="0" fontId="26" fillId="10" borderId="26" xfId="0" applyNumberFormat="1" applyFont="1" applyFill="1" applyBorder="1" applyAlignment="1">
      <alignment horizontal="center" vertical="center" wrapText="1"/>
    </xf>
    <xf numFmtId="1" fontId="25" fillId="10" borderId="26" xfId="0" applyNumberFormat="1" applyFont="1" applyFill="1" applyBorder="1" applyAlignment="1">
      <alignment horizontal="center" vertical="center" wrapText="1"/>
    </xf>
    <xf numFmtId="164" fontId="25" fillId="10" borderId="26" xfId="0" applyNumberFormat="1" applyFont="1" applyFill="1" applyBorder="1" applyAlignment="1">
      <alignment horizontal="center" vertical="center" wrapText="1"/>
    </xf>
    <xf numFmtId="0" fontId="2" fillId="10" borderId="26" xfId="0" applyNumberFormat="1" applyFont="1" applyFill="1" applyBorder="1" applyAlignment="1">
      <alignment wrapText="1"/>
    </xf>
    <xf numFmtId="0" fontId="25" fillId="11" borderId="26" xfId="0" applyNumberFormat="1" applyFont="1" applyFill="1" applyBorder="1" applyAlignment="1">
      <alignment horizontal="center" vertical="center" wrapText="1"/>
    </xf>
    <xf numFmtId="0" fontId="27" fillId="9" borderId="26" xfId="0" applyNumberFormat="1" applyFont="1" applyFill="1" applyBorder="1" applyAlignment="1">
      <alignment horizontal="center" vertical="center" wrapText="1"/>
    </xf>
    <xf numFmtId="1" fontId="27" fillId="10" borderId="26" xfId="0" applyNumberFormat="1" applyFont="1" applyFill="1" applyBorder="1" applyAlignment="1">
      <alignment horizontal="center" vertical="center" wrapText="1"/>
    </xf>
    <xf numFmtId="0" fontId="28" fillId="10" borderId="26" xfId="0" applyNumberFormat="1" applyFont="1" applyFill="1" applyBorder="1" applyAlignment="1">
      <alignment vertical="center"/>
    </xf>
    <xf numFmtId="1" fontId="27" fillId="10" borderId="26" xfId="0" applyNumberFormat="1" applyFont="1" applyFill="1" applyBorder="1" applyAlignment="1">
      <alignment horizontal="center" wrapText="1"/>
    </xf>
    <xf numFmtId="1" fontId="27" fillId="10" borderId="29" xfId="0" applyNumberFormat="1" applyFont="1" applyFill="1" applyBorder="1" applyAlignment="1">
      <alignment horizontal="center" wrapText="1"/>
    </xf>
    <xf numFmtId="1" fontId="28" fillId="10" borderId="25" xfId="0" applyNumberFormat="1" applyFont="1" applyFill="1" applyBorder="1" applyAlignment="1">
      <alignment horizontal="center" wrapText="1"/>
    </xf>
    <xf numFmtId="164" fontId="5" fillId="0" borderId="26" xfId="0" applyNumberFormat="1" applyFont="1" applyBorder="1" applyAlignment="1">
      <alignment vertical="top" wrapText="1"/>
    </xf>
    <xf numFmtId="1" fontId="28" fillId="10" borderId="26" xfId="0" applyNumberFormat="1" applyFont="1" applyFill="1" applyBorder="1" applyAlignment="1">
      <alignment horizontal="center" wrapText="1"/>
    </xf>
    <xf numFmtId="1" fontId="29" fillId="10" borderId="26" xfId="0" applyNumberFormat="1" applyFont="1" applyFill="1" applyBorder="1" applyAlignment="1">
      <alignment horizontal="center" wrapText="1"/>
    </xf>
    <xf numFmtId="164" fontId="26" fillId="10" borderId="26" xfId="0" applyNumberFormat="1" applyFont="1" applyFill="1" applyBorder="1" applyAlignment="1">
      <alignment wrapText="1"/>
    </xf>
    <xf numFmtId="9" fontId="26" fillId="10" borderId="26" xfId="0" applyNumberFormat="1" applyFont="1" applyFill="1" applyBorder="1" applyAlignment="1">
      <alignment wrapText="1"/>
    </xf>
    <xf numFmtId="0" fontId="30" fillId="12" borderId="26" xfId="0" applyNumberFormat="1" applyFont="1" applyFill="1" applyBorder="1" applyAlignment="1">
      <alignment wrapText="1"/>
    </xf>
    <xf numFmtId="1" fontId="28" fillId="10" borderId="26" xfId="0" applyNumberFormat="1" applyFont="1" applyFill="1" applyBorder="1" applyAlignment="1">
      <alignment wrapText="1"/>
    </xf>
    <xf numFmtId="164" fontId="26" fillId="10" borderId="26" xfId="0" applyNumberFormat="1" applyFont="1" applyFill="1" applyBorder="1" applyAlignment="1">
      <alignment horizontal="center" wrapText="1"/>
    </xf>
    <xf numFmtId="14" fontId="31" fillId="10" borderId="26" xfId="0" applyNumberFormat="1" applyFont="1" applyFill="1" applyBorder="1" applyAlignment="1">
      <alignment wrapText="1"/>
    </xf>
    <xf numFmtId="1" fontId="2" fillId="10" borderId="26" xfId="0" applyNumberFormat="1" applyFont="1" applyFill="1" applyBorder="1" applyAlignment="1">
      <alignment wrapText="1"/>
    </xf>
    <xf numFmtId="0" fontId="32" fillId="9" borderId="25" xfId="0" applyNumberFormat="1" applyFont="1" applyFill="1" applyBorder="1" applyAlignment="1">
      <alignment horizontal="left"/>
    </xf>
    <xf numFmtId="1" fontId="32" fillId="9" borderId="26" xfId="0" applyNumberFormat="1" applyFont="1" applyFill="1" applyBorder="1" applyAlignment="1">
      <alignment horizontal="center"/>
    </xf>
    <xf numFmtId="164" fontId="33" fillId="9" borderId="26" xfId="0" applyNumberFormat="1" applyFont="1" applyFill="1" applyBorder="1" applyAlignment="1"/>
    <xf numFmtId="9" fontId="33" fillId="9" borderId="26" xfId="0" applyNumberFormat="1" applyFont="1" applyFill="1" applyBorder="1" applyAlignment="1">
      <alignment horizontal="center"/>
    </xf>
    <xf numFmtId="164" fontId="20" fillId="0" borderId="29" xfId="0" applyNumberFormat="1" applyFont="1" applyBorder="1" applyAlignment="1"/>
    <xf numFmtId="164" fontId="20" fillId="0" borderId="30" xfId="0" applyNumberFormat="1" applyFont="1" applyBorder="1" applyAlignment="1"/>
    <xf numFmtId="1" fontId="5" fillId="0" borderId="30" xfId="0" applyNumberFormat="1" applyFont="1" applyBorder="1" applyAlignment="1"/>
    <xf numFmtId="1" fontId="5" fillId="0" borderId="31" xfId="0" applyNumberFormat="1" applyFont="1" applyBorder="1" applyAlignment="1"/>
    <xf numFmtId="1" fontId="32" fillId="9" borderId="26" xfId="0" applyNumberFormat="1" applyFont="1" applyFill="1" applyBorder="1" applyAlignment="1">
      <alignment horizontal="left"/>
    </xf>
    <xf numFmtId="1" fontId="5" fillId="0" borderId="32" xfId="0" applyNumberFormat="1" applyFont="1" applyBorder="1" applyAlignment="1"/>
    <xf numFmtId="0" fontId="2" fillId="0" borderId="30" xfId="0" applyNumberFormat="1" applyFont="1" applyBorder="1" applyAlignment="1">
      <alignment horizontal="center"/>
    </xf>
    <xf numFmtId="164" fontId="5" fillId="0" borderId="30" xfId="0" applyNumberFormat="1" applyFont="1" applyBorder="1" applyAlignment="1"/>
    <xf numFmtId="0" fontId="2" fillId="9" borderId="26" xfId="0" applyNumberFormat="1" applyFont="1" applyFill="1" applyBorder="1" applyAlignment="1">
      <alignment horizontal="center"/>
    </xf>
    <xf numFmtId="1" fontId="2" fillId="9" borderId="26" xfId="0" applyNumberFormat="1" applyFont="1" applyFill="1" applyBorder="1" applyAlignment="1">
      <alignment horizontal="center"/>
    </xf>
    <xf numFmtId="9" fontId="12" fillId="9" borderId="26" xfId="0" applyNumberFormat="1" applyFont="1" applyFill="1" applyBorder="1" applyAlignment="1">
      <alignment horizontal="center"/>
    </xf>
    <xf numFmtId="0" fontId="30" fillId="12" borderId="26" xfId="0" applyNumberFormat="1" applyFont="1" applyFill="1" applyBorder="1" applyAlignment="1"/>
    <xf numFmtId="164" fontId="5" fillId="0" borderId="27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/>
    <xf numFmtId="1" fontId="2" fillId="0" borderId="30" xfId="0" applyNumberFormat="1" applyFont="1" applyBorder="1" applyAlignment="1">
      <alignment horizontal="center"/>
    </xf>
    <xf numFmtId="164" fontId="5" fillId="0" borderId="12" xfId="0" applyNumberFormat="1" applyFont="1" applyBorder="1" applyAlignment="1"/>
    <xf numFmtId="9" fontId="12" fillId="0" borderId="31" xfId="0" applyNumberFormat="1" applyFont="1" applyBorder="1" applyAlignment="1">
      <alignment horizontal="center"/>
    </xf>
    <xf numFmtId="9" fontId="12" fillId="0" borderId="9" xfId="0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0" fontId="2" fillId="0" borderId="28" xfId="0" applyNumberFormat="1" applyFont="1" applyBorder="1" applyAlignment="1"/>
    <xf numFmtId="164" fontId="5" fillId="13" borderId="1" xfId="0" applyNumberFormat="1" applyFont="1" applyFill="1" applyBorder="1" applyAlignment="1"/>
    <xf numFmtId="0" fontId="28" fillId="9" borderId="26" xfId="0" applyNumberFormat="1" applyFont="1" applyFill="1" applyBorder="1" applyAlignment="1"/>
    <xf numFmtId="164" fontId="5" fillId="9" borderId="18" xfId="0" applyNumberFormat="1" applyFont="1" applyFill="1" applyBorder="1" applyAlignment="1"/>
    <xf numFmtId="1" fontId="2" fillId="9" borderId="26" xfId="0" applyNumberFormat="1" applyFont="1" applyFill="1" applyBorder="1" applyAlignment="1"/>
    <xf numFmtId="164" fontId="5" fillId="9" borderId="26" xfId="0" applyNumberFormat="1" applyFont="1" applyFill="1" applyBorder="1" applyAlignment="1"/>
    <xf numFmtId="164" fontId="5" fillId="9" borderId="26" xfId="0" applyNumberFormat="1" applyFont="1" applyFill="1" applyBorder="1" applyAlignment="1">
      <alignment horizontal="center"/>
    </xf>
    <xf numFmtId="164" fontId="5" fillId="13" borderId="18" xfId="0" applyNumberFormat="1" applyFont="1" applyFill="1" applyBorder="1" applyAlignment="1"/>
    <xf numFmtId="3" fontId="2" fillId="0" borderId="27" xfId="0" applyNumberFormat="1" applyFont="1" applyBorder="1" applyAlignment="1"/>
    <xf numFmtId="164" fontId="5" fillId="0" borderId="24" xfId="0" applyNumberFormat="1" applyFont="1" applyBorder="1" applyAlignment="1"/>
    <xf numFmtId="1" fontId="2" fillId="0" borderId="24" xfId="0" applyNumberFormat="1" applyFont="1" applyBorder="1" applyAlignment="1">
      <alignment horizontal="center"/>
    </xf>
    <xf numFmtId="9" fontId="12" fillId="0" borderId="13" xfId="0" applyNumberFormat="1" applyFont="1" applyBorder="1" applyAlignment="1">
      <alignment horizontal="center"/>
    </xf>
    <xf numFmtId="0" fontId="30" fillId="9" borderId="26" xfId="0" applyNumberFormat="1" applyFont="1" applyFill="1" applyBorder="1" applyAlignment="1"/>
    <xf numFmtId="164" fontId="5" fillId="9" borderId="33" xfId="0" applyNumberFormat="1" applyFont="1" applyFill="1" applyBorder="1" applyAlignment="1"/>
    <xf numFmtId="0" fontId="2" fillId="9" borderId="26" xfId="0" applyNumberFormat="1" applyFont="1" applyFill="1" applyBorder="1" applyAlignment="1"/>
    <xf numFmtId="3" fontId="2" fillId="0" borderId="24" xfId="0" applyNumberFormat="1" applyFont="1" applyBorder="1" applyAlignment="1"/>
    <xf numFmtId="1" fontId="2" fillId="9" borderId="33" xfId="0" applyNumberFormat="1" applyFont="1" applyFill="1" applyBorder="1" applyAlignment="1">
      <alignment horizontal="center"/>
    </xf>
    <xf numFmtId="3" fontId="2" fillId="0" borderId="9" xfId="0" applyNumberFormat="1" applyFont="1" applyBorder="1" applyAlignment="1"/>
    <xf numFmtId="3" fontId="2" fillId="11" borderId="26" xfId="0" applyNumberFormat="1" applyFont="1" applyFill="1" applyBorder="1" applyAlignment="1"/>
    <xf numFmtId="3" fontId="2" fillId="0" borderId="30" xfId="0" applyNumberFormat="1" applyFont="1" applyBorder="1" applyAlignment="1"/>
    <xf numFmtId="9" fontId="12" fillId="9" borderId="26" xfId="0" applyNumberFormat="1" applyFont="1" applyFill="1" applyBorder="1" applyAlignment="1"/>
    <xf numFmtId="164" fontId="5" fillId="9" borderId="34" xfId="0" applyNumberFormat="1" applyFont="1" applyFill="1" applyBorder="1" applyAlignment="1"/>
    <xf numFmtId="3" fontId="2" fillId="0" borderId="35" xfId="0" applyNumberFormat="1" applyFont="1" applyBorder="1" applyAlignment="1"/>
    <xf numFmtId="9" fontId="12" fillId="0" borderId="25" xfId="0" applyNumberFormat="1" applyFont="1" applyBorder="1" applyAlignment="1"/>
    <xf numFmtId="9" fontId="1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/>
    <xf numFmtId="3" fontId="2" fillId="0" borderId="36" xfId="0" applyNumberFormat="1" applyFont="1" applyBorder="1" applyAlignment="1"/>
    <xf numFmtId="0" fontId="12" fillId="9" borderId="26" xfId="0" applyNumberFormat="1" applyFont="1" applyFill="1" applyBorder="1" applyAlignment="1">
      <alignment horizontal="center"/>
    </xf>
    <xf numFmtId="164" fontId="12" fillId="9" borderId="26" xfId="0" applyNumberFormat="1" applyFont="1" applyFill="1" applyBorder="1" applyAlignment="1">
      <alignment horizontal="center"/>
    </xf>
    <xf numFmtId="3" fontId="2" fillId="0" borderId="32" xfId="0" applyNumberFormat="1" applyFont="1" applyBorder="1" applyAlignment="1"/>
    <xf numFmtId="3" fontId="2" fillId="0" borderId="28" xfId="0" applyNumberFormat="1" applyFont="1" applyBorder="1" applyAlignment="1"/>
    <xf numFmtId="3" fontId="2" fillId="0" borderId="25" xfId="0" applyNumberFormat="1" applyFont="1" applyBorder="1" applyAlignment="1"/>
    <xf numFmtId="9" fontId="5" fillId="0" borderId="9" xfId="0" applyNumberFormat="1" applyFont="1" applyBorder="1" applyAlignment="1"/>
    <xf numFmtId="164" fontId="5" fillId="0" borderId="31" xfId="0" applyNumberFormat="1" applyFont="1" applyBorder="1" applyAlignment="1"/>
    <xf numFmtId="0" fontId="5" fillId="9" borderId="26" xfId="0" applyNumberFormat="1" applyFont="1" applyFill="1" applyBorder="1" applyAlignment="1"/>
    <xf numFmtId="164" fontId="5" fillId="0" borderId="9" xfId="0" applyNumberFormat="1" applyFont="1" applyBorder="1" applyAlignment="1"/>
    <xf numFmtId="0" fontId="2" fillId="0" borderId="27" xfId="0" applyNumberFormat="1" applyFont="1" applyBorder="1" applyAlignment="1">
      <alignment horizontal="center"/>
    </xf>
    <xf numFmtId="0" fontId="28" fillId="0" borderId="30" xfId="0" applyNumberFormat="1" applyFont="1" applyBorder="1" applyAlignment="1"/>
    <xf numFmtId="1" fontId="2" fillId="0" borderId="30" xfId="0" applyNumberFormat="1" applyFont="1" applyBorder="1" applyAlignment="1"/>
    <xf numFmtId="164" fontId="5" fillId="0" borderId="30" xfId="0" applyNumberFormat="1" applyFont="1" applyBorder="1" applyAlignment="1">
      <alignment horizontal="center"/>
    </xf>
    <xf numFmtId="164" fontId="5" fillId="0" borderId="15" xfId="0" applyNumberFormat="1" applyFont="1" applyBorder="1" applyAlignment="1"/>
    <xf numFmtId="9" fontId="12" fillId="0" borderId="24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164" fontId="5" fillId="13" borderId="26" xfId="0" applyNumberFormat="1" applyFont="1" applyFill="1" applyBorder="1" applyAlignment="1">
      <alignment vertical="top" wrapText="1"/>
    </xf>
    <xf numFmtId="9" fontId="12" fillId="0" borderId="28" xfId="0" applyNumberFormat="1" applyFont="1" applyBorder="1" applyAlignment="1">
      <alignment horizontal="center"/>
    </xf>
    <xf numFmtId="0" fontId="2" fillId="0" borderId="30" xfId="0" applyNumberFormat="1" applyFont="1" applyBorder="1" applyAlignment="1"/>
    <xf numFmtId="0" fontId="28" fillId="0" borderId="1" xfId="0" applyNumberFormat="1" applyFont="1" applyBorder="1" applyAlignment="1"/>
    <xf numFmtId="1" fontId="28" fillId="0" borderId="1" xfId="0" applyNumberFormat="1" applyFont="1" applyBorder="1" applyAlignment="1"/>
    <xf numFmtId="1" fontId="28" fillId="0" borderId="24" xfId="0" applyNumberFormat="1" applyFont="1" applyBorder="1" applyAlignment="1"/>
    <xf numFmtId="164" fontId="5" fillId="0" borderId="10" xfId="0" applyNumberFormat="1" applyFont="1" applyBorder="1" applyAlignment="1"/>
    <xf numFmtId="14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vertical="top" wrapText="1"/>
    </xf>
    <xf numFmtId="0" fontId="3" fillId="0" borderId="1" xfId="0" applyNumberFormat="1" applyFont="1" applyBorder="1" applyAlignment="1"/>
    <xf numFmtId="1" fontId="5" fillId="0" borderId="1" xfId="0" applyNumberFormat="1" applyFont="1" applyBorder="1" applyAlignment="1">
      <alignment vertical="top" wrapText="1"/>
    </xf>
    <xf numFmtId="1" fontId="3" fillId="0" borderId="1" xfId="0" applyNumberFormat="1" applyFont="1" applyBorder="1" applyAlignment="1"/>
    <xf numFmtId="0" fontId="34" fillId="0" borderId="1" xfId="0" applyNumberFormat="1" applyFont="1" applyBorder="1" applyAlignment="1"/>
    <xf numFmtId="0" fontId="35" fillId="0" borderId="1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vertical="top" wrapText="1"/>
    </xf>
    <xf numFmtId="1" fontId="9" fillId="0" borderId="1" xfId="0" applyNumberFormat="1" applyFont="1" applyBorder="1" applyAlignment="1">
      <alignment horizontal="right"/>
    </xf>
    <xf numFmtId="1" fontId="6" fillId="0" borderId="1" xfId="0" applyNumberFormat="1" applyFont="1" applyBorder="1" applyAlignment="1"/>
    <xf numFmtId="0" fontId="9" fillId="0" borderId="1" xfId="0" applyNumberFormat="1" applyFont="1" applyBorder="1" applyAlignment="1">
      <alignment vertical="top" wrapText="1"/>
    </xf>
    <xf numFmtId="0" fontId="36" fillId="0" borderId="1" xfId="0" applyNumberFormat="1" applyFont="1" applyBorder="1" applyAlignment="1">
      <alignment horizontal="left"/>
    </xf>
    <xf numFmtId="1" fontId="36" fillId="0" borderId="1" xfId="0" applyNumberFormat="1" applyFont="1" applyBorder="1" applyAlignment="1"/>
    <xf numFmtId="0" fontId="38" fillId="0" borderId="1" xfId="0" applyNumberFormat="1" applyFont="1" applyBorder="1" applyAlignment="1">
      <alignment horizontal="left"/>
    </xf>
    <xf numFmtId="1" fontId="2" fillId="14" borderId="1" xfId="0" applyNumberFormat="1" applyFont="1" applyFill="1" applyBorder="1" applyAlignment="1"/>
    <xf numFmtId="0" fontId="39" fillId="0" borderId="2" xfId="0" applyNumberFormat="1" applyFont="1" applyBorder="1" applyAlignment="1">
      <alignment horizontal="left"/>
    </xf>
    <xf numFmtId="0" fontId="5" fillId="0" borderId="1" xfId="0" quotePrefix="1" applyNumberFormat="1" applyFont="1" applyBorder="1" applyAlignment="1">
      <alignment horizontal="left"/>
    </xf>
    <xf numFmtId="165" fontId="36" fillId="0" borderId="1" xfId="0" applyNumberFormat="1" applyFont="1" applyBorder="1" applyAlignment="1"/>
    <xf numFmtId="0" fontId="36" fillId="0" borderId="27" xfId="0" applyNumberFormat="1" applyFont="1" applyBorder="1" applyAlignment="1">
      <alignment horizontal="left"/>
    </xf>
    <xf numFmtId="1" fontId="5" fillId="0" borderId="26" xfId="0" applyNumberFormat="1" applyFont="1" applyBorder="1" applyAlignment="1"/>
    <xf numFmtId="0" fontId="37" fillId="0" borderId="1" xfId="0" quotePrefix="1" applyNumberFormat="1" applyFont="1" applyBorder="1" applyAlignment="1">
      <alignment horizontal="left"/>
    </xf>
    <xf numFmtId="0" fontId="37" fillId="0" borderId="1" xfId="0" quotePrefix="1" applyNumberFormat="1" applyFont="1" applyBorder="1" applyAlignment="1"/>
    <xf numFmtId="0" fontId="41" fillId="0" borderId="1" xfId="0" quotePrefix="1" applyNumberFormat="1" applyFont="1" applyBorder="1" applyAlignment="1">
      <alignment horizontal="left"/>
    </xf>
    <xf numFmtId="0" fontId="37" fillId="14" borderId="1" xfId="0" quotePrefix="1" applyNumberFormat="1" applyFont="1" applyFill="1" applyBorder="1" applyAlignment="1"/>
    <xf numFmtId="165" fontId="41" fillId="0" borderId="1" xfId="0" applyNumberFormat="1" applyFont="1" applyBorder="1" applyAlignment="1"/>
    <xf numFmtId="1" fontId="5" fillId="15" borderId="1" xfId="0" applyNumberFormat="1" applyFont="1" applyFill="1" applyBorder="1" applyAlignment="1"/>
    <xf numFmtId="0" fontId="5" fillId="15" borderId="1" xfId="0" applyNumberFormat="1" applyFont="1" applyFill="1" applyBorder="1" applyAlignment="1"/>
    <xf numFmtId="1" fontId="1" fillId="15" borderId="1" xfId="0" applyNumberFormat="1" applyFont="1" applyFill="1" applyBorder="1" applyAlignment="1"/>
    <xf numFmtId="167" fontId="2" fillId="0" borderId="27" xfId="0" applyNumberFormat="1" applyFont="1" applyBorder="1" applyAlignment="1">
      <alignment horizontal="left"/>
    </xf>
    <xf numFmtId="0" fontId="1" fillId="0" borderId="30" xfId="0" applyFont="1" applyBorder="1" applyAlignment="1">
      <alignment vertical="top" wrapText="1"/>
    </xf>
    <xf numFmtId="1" fontId="1" fillId="0" borderId="26" xfId="0" applyNumberFormat="1" applyFont="1" applyFill="1" applyBorder="1" applyAlignment="1"/>
    <xf numFmtId="1" fontId="15" fillId="0" borderId="26" xfId="0" applyNumberFormat="1" applyFont="1" applyFill="1" applyBorder="1" applyAlignment="1"/>
    <xf numFmtId="1" fontId="5" fillId="0" borderId="9" xfId="0" applyNumberFormat="1" applyFont="1" applyBorder="1" applyAlignment="1">
      <alignment horizontal="left"/>
    </xf>
    <xf numFmtId="1" fontId="2" fillId="0" borderId="9" xfId="0" applyNumberFormat="1" applyFont="1" applyBorder="1" applyAlignment="1"/>
    <xf numFmtId="1" fontId="2" fillId="0" borderId="9" xfId="0" applyNumberFormat="1" applyFont="1" applyBorder="1" applyAlignment="1">
      <alignment horizontal="left"/>
    </xf>
    <xf numFmtId="0" fontId="5" fillId="0" borderId="27" xfId="0" applyNumberFormat="1" applyFont="1" applyBorder="1" applyAlignment="1">
      <alignment horizontal="left"/>
    </xf>
    <xf numFmtId="167" fontId="5" fillId="0" borderId="27" xfId="0" applyNumberFormat="1" applyFont="1" applyBorder="1" applyAlignment="1">
      <alignment horizontal="left"/>
    </xf>
    <xf numFmtId="0" fontId="37" fillId="0" borderId="27" xfId="0" applyNumberFormat="1" applyFont="1" applyBorder="1" applyAlignment="1">
      <alignment horizontal="left"/>
    </xf>
    <xf numFmtId="1" fontId="5" fillId="15" borderId="38" xfId="0" applyNumberFormat="1" applyFont="1" applyFill="1" applyBorder="1" applyAlignment="1">
      <alignment horizontal="right"/>
    </xf>
    <xf numFmtId="1" fontId="5" fillId="15" borderId="38" xfId="0" applyNumberFormat="1" applyFont="1" applyFill="1" applyBorder="1" applyAlignment="1">
      <alignment horizontal="center"/>
    </xf>
    <xf numFmtId="0" fontId="9" fillId="15" borderId="39" xfId="0" applyNumberFormat="1" applyFont="1" applyFill="1" applyBorder="1" applyAlignment="1"/>
    <xf numFmtId="0" fontId="5" fillId="15" borderId="40" xfId="0" applyNumberFormat="1" applyFont="1" applyFill="1" applyBorder="1" applyAlignment="1"/>
    <xf numFmtId="0" fontId="5" fillId="15" borderId="41" xfId="0" applyNumberFormat="1" applyFont="1" applyFill="1" applyBorder="1" applyAlignment="1"/>
    <xf numFmtId="1" fontId="5" fillId="15" borderId="41" xfId="0" applyNumberFormat="1" applyFont="1" applyFill="1" applyBorder="1" applyAlignment="1"/>
    <xf numFmtId="0" fontId="14" fillId="15" borderId="40" xfId="0" applyNumberFormat="1" applyFont="1" applyFill="1" applyBorder="1" applyAlignment="1"/>
    <xf numFmtId="1" fontId="1" fillId="15" borderId="42" xfId="0" applyNumberFormat="1" applyFont="1" applyFill="1" applyBorder="1" applyAlignment="1"/>
    <xf numFmtId="1" fontId="1" fillId="15" borderId="43" xfId="0" applyNumberFormat="1" applyFont="1" applyFill="1" applyBorder="1" applyAlignment="1"/>
    <xf numFmtId="1" fontId="15" fillId="15" borderId="44" xfId="0" applyNumberFormat="1" applyFont="1" applyFill="1" applyBorder="1" applyAlignment="1"/>
    <xf numFmtId="0" fontId="39" fillId="15" borderId="37" xfId="0" applyNumberFormat="1" applyFont="1" applyFill="1" applyBorder="1" applyAlignment="1"/>
    <xf numFmtId="1" fontId="7" fillId="15" borderId="3" xfId="0" applyNumberFormat="1" applyFont="1" applyFill="1" applyBorder="1" applyAlignment="1">
      <alignment horizontal="center"/>
    </xf>
    <xf numFmtId="0" fontId="4" fillId="15" borderId="3" xfId="0" applyNumberFormat="1" applyFont="1" applyFill="1" applyBorder="1" applyAlignment="1">
      <alignment horizontal="center"/>
    </xf>
    <xf numFmtId="0" fontId="18" fillId="14" borderId="3" xfId="0" applyNumberFormat="1" applyFont="1" applyFill="1" applyBorder="1" applyAlignment="1">
      <alignment horizontal="center" vertical="center" wrapText="1"/>
    </xf>
    <xf numFmtId="164" fontId="17" fillId="14" borderId="3" xfId="0" applyNumberFormat="1" applyFont="1" applyFill="1" applyBorder="1" applyAlignment="1">
      <alignment vertical="center" wrapText="1"/>
    </xf>
    <xf numFmtId="0" fontId="17" fillId="14" borderId="3" xfId="0" applyNumberFormat="1" applyFont="1" applyFill="1" applyBorder="1" applyAlignment="1">
      <alignment vertical="center" wrapText="1"/>
    </xf>
    <xf numFmtId="1" fontId="0" fillId="0" borderId="14" xfId="0" applyNumberFormat="1" applyFont="1" applyBorder="1" applyAlignment="1">
      <alignment vertical="top"/>
    </xf>
    <xf numFmtId="0" fontId="5" fillId="0" borderId="26" xfId="0" applyNumberFormat="1" applyFont="1" applyBorder="1" applyAlignment="1">
      <alignment horizontal="left"/>
    </xf>
    <xf numFmtId="167" fontId="5" fillId="0" borderId="26" xfId="0" applyNumberFormat="1" applyFont="1" applyBorder="1" applyAlignment="1">
      <alignment horizontal="left"/>
    </xf>
    <xf numFmtId="0" fontId="37" fillId="0" borderId="26" xfId="0" applyNumberFormat="1" applyFont="1" applyBorder="1" applyAlignment="1">
      <alignment horizontal="left"/>
    </xf>
    <xf numFmtId="167" fontId="2" fillId="0" borderId="26" xfId="0" applyNumberFormat="1" applyFont="1" applyBorder="1" applyAlignment="1">
      <alignment horizontal="left"/>
    </xf>
    <xf numFmtId="1" fontId="2" fillId="0" borderId="26" xfId="0" applyNumberFormat="1" applyFont="1" applyBorder="1" applyAlignment="1"/>
    <xf numFmtId="0" fontId="39" fillId="0" borderId="26" xfId="0" applyNumberFormat="1" applyFont="1" applyFill="1" applyBorder="1" applyAlignment="1"/>
    <xf numFmtId="1" fontId="5" fillId="0" borderId="26" xfId="0" applyNumberFormat="1" applyFont="1" applyFill="1" applyBorder="1" applyAlignment="1">
      <alignment horizontal="right"/>
    </xf>
    <xf numFmtId="1" fontId="5" fillId="0" borderId="26" xfId="0" applyNumberFormat="1" applyFont="1" applyFill="1" applyBorder="1" applyAlignment="1">
      <alignment horizontal="center"/>
    </xf>
    <xf numFmtId="0" fontId="9" fillId="0" borderId="26" xfId="0" applyNumberFormat="1" applyFont="1" applyFill="1" applyBorder="1" applyAlignment="1"/>
    <xf numFmtId="0" fontId="5" fillId="0" borderId="26" xfId="0" applyNumberFormat="1" applyFont="1" applyFill="1" applyBorder="1" applyAlignment="1"/>
    <xf numFmtId="1" fontId="5" fillId="0" borderId="26" xfId="0" applyNumberFormat="1" applyFont="1" applyFill="1" applyBorder="1" applyAlignment="1"/>
    <xf numFmtId="0" fontId="14" fillId="0" borderId="26" xfId="0" applyNumberFormat="1" applyFont="1" applyFill="1" applyBorder="1" applyAlignment="1"/>
    <xf numFmtId="1" fontId="37" fillId="0" borderId="26" xfId="0" applyNumberFormat="1" applyFont="1" applyFill="1" applyBorder="1" applyAlignment="1"/>
    <xf numFmtId="1" fontId="37" fillId="15" borderId="41" xfId="0" applyNumberFormat="1" applyFont="1" applyFill="1" applyBorder="1" applyAlignment="1"/>
    <xf numFmtId="0" fontId="41" fillId="0" borderId="1" xfId="0" applyNumberFormat="1" applyFont="1" applyBorder="1" applyAlignment="1">
      <alignment horizontal="left"/>
    </xf>
    <xf numFmtId="165" fontId="37" fillId="0" borderId="1" xfId="0" applyNumberFormat="1" applyFont="1" applyBorder="1" applyAlignment="1"/>
    <xf numFmtId="168" fontId="5" fillId="0" borderId="1" xfId="0" applyNumberFormat="1" applyFont="1" applyBorder="1" applyAlignment="1"/>
    <xf numFmtId="2" fontId="5" fillId="0" borderId="8" xfId="0" applyNumberFormat="1" applyFont="1" applyBorder="1" applyAlignment="1"/>
    <xf numFmtId="0" fontId="37" fillId="0" borderId="0" xfId="0" quotePrefix="1" applyNumberFormat="1" applyFont="1" applyAlignment="1">
      <alignment vertical="top"/>
    </xf>
    <xf numFmtId="1" fontId="36" fillId="0" borderId="1" xfId="0" quotePrefix="1" applyNumberFormat="1" applyFont="1" applyFill="1" applyBorder="1" applyAlignment="1"/>
    <xf numFmtId="1" fontId="9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/>
    <xf numFmtId="1" fontId="9" fillId="14" borderId="1" xfId="0" applyNumberFormat="1" applyFont="1" applyFill="1" applyBorder="1" applyAlignment="1"/>
    <xf numFmtId="0" fontId="5" fillId="0" borderId="1" xfId="0" applyNumberFormat="1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/>
    <xf numFmtId="1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/>
    <xf numFmtId="167" fontId="5" fillId="0" borderId="1" xfId="0" applyNumberFormat="1" applyFont="1" applyFill="1" applyBorder="1" applyAlignment="1">
      <alignment horizontal="right"/>
    </xf>
    <xf numFmtId="0" fontId="42" fillId="15" borderId="3" xfId="0" applyNumberFormat="1" applyFont="1" applyFill="1" applyBorder="1" applyAlignment="1">
      <alignment horizontal="center" vertical="center" wrapText="1"/>
    </xf>
    <xf numFmtId="164" fontId="17" fillId="15" borderId="3" xfId="0" applyNumberFormat="1" applyFont="1" applyFill="1" applyBorder="1" applyAlignment="1">
      <alignment vertical="center" wrapText="1"/>
    </xf>
    <xf numFmtId="0" fontId="43" fillId="15" borderId="3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17" fillId="5" borderId="17" xfId="0" applyNumberFormat="1" applyFont="1" applyFill="1" applyBorder="1" applyAlignment="1">
      <alignment horizontal="center" vertical="center" wrapText="1"/>
    </xf>
    <xf numFmtId="1" fontId="17" fillId="5" borderId="18" xfId="0" applyNumberFormat="1" applyFont="1" applyFill="1" applyBorder="1" applyAlignment="1">
      <alignment horizontal="center" vertical="center" wrapText="1"/>
    </xf>
    <xf numFmtId="1" fontId="17" fillId="5" borderId="19" xfId="0" applyNumberFormat="1" applyFont="1" applyFill="1" applyBorder="1" applyAlignment="1">
      <alignment horizontal="center" vertical="center" wrapText="1"/>
    </xf>
    <xf numFmtId="9" fontId="12" fillId="9" borderId="26" xfId="0" applyNumberFormat="1" applyFont="1" applyFill="1" applyBorder="1" applyAlignment="1">
      <alignment horizontal="center" vertical="center"/>
    </xf>
    <xf numFmtId="1" fontId="2" fillId="9" borderId="26" xfId="0" applyNumberFormat="1" applyFont="1" applyFill="1" applyBorder="1" applyAlignment="1">
      <alignment horizontal="center" vertical="center"/>
    </xf>
    <xf numFmtId="1" fontId="12" fillId="9" borderId="26" xfId="0" applyNumberFormat="1" applyFont="1" applyFill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12" fillId="9" borderId="26" xfId="0" applyNumberFormat="1" applyFont="1" applyFill="1" applyBorder="1" applyAlignment="1">
      <alignment horizontal="center" vertical="center"/>
    </xf>
    <xf numFmtId="0" fontId="2" fillId="9" borderId="26" xfId="0" applyNumberFormat="1" applyFont="1" applyFill="1" applyBorder="1" applyAlignment="1">
      <alignment horizontal="center" vertical="center"/>
    </xf>
    <xf numFmtId="1" fontId="40" fillId="0" borderId="2" xfId="0" applyNumberFormat="1" applyFont="1" applyBorder="1" applyAlignment="1">
      <alignment horizontal="center"/>
    </xf>
    <xf numFmtId="1" fontId="36" fillId="0" borderId="2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DAEEF3"/>
      <rgbColor rgb="FFDAEAF4"/>
      <rgbColor rgb="FFFFFF00"/>
      <rgbColor rgb="FF7030A0"/>
      <rgbColor rgb="FF00B050"/>
      <rgbColor rgb="FFE1D2E6"/>
      <rgbColor rgb="FF72FCD5"/>
      <rgbColor rgb="FF0070C0"/>
      <rgbColor rgb="FFD5D5D5"/>
      <rgbColor rgb="FFFF89D8"/>
      <rgbColor rgb="FFFF99CC"/>
      <rgbColor rgb="FFF4F4F4"/>
      <rgbColor rgb="FFCCFFCC"/>
      <rgbColor rgb="FFDBE5F1"/>
      <rgbColor rgb="FFB2B1A8"/>
      <rgbColor rgb="FFFDE9D9"/>
      <rgbColor rgb="FF595959"/>
      <rgbColor rgb="FFE5B8B7"/>
      <rgbColor rgb="FF8DF90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36"/>
  <sheetViews>
    <sheetView tabSelected="1" workbookViewId="0">
      <selection activeCell="A2" sqref="A2"/>
    </sheetView>
  </sheetViews>
  <sheetFormatPr defaultColWidth="6.796875" defaultRowHeight="15" customHeight="1" x14ac:dyDescent="0.2"/>
  <cols>
    <col min="1" max="1" width="3.09765625" style="1" customWidth="1"/>
    <col min="2" max="2" width="9" style="1" customWidth="1"/>
    <col min="3" max="3" width="6.796875" style="1" customWidth="1"/>
    <col min="4" max="4" width="1" style="1" customWidth="1"/>
    <col min="5" max="5" width="14.5" style="1" customWidth="1"/>
    <col min="6" max="6" width="1" style="1" customWidth="1"/>
    <col min="7" max="7" width="30.09765625" style="1" customWidth="1"/>
    <col min="8" max="8" width="6.59765625" style="1" customWidth="1"/>
    <col min="9" max="10" width="6.796875" style="1" customWidth="1"/>
    <col min="11" max="11" width="9.796875" style="1" customWidth="1"/>
    <col min="12" max="12" width="6.796875" style="1" customWidth="1"/>
    <col min="13" max="13" width="21.59765625" style="1" customWidth="1"/>
    <col min="14" max="14" width="4.796875" style="1" customWidth="1"/>
    <col min="15" max="15" width="6.5" style="1" customWidth="1"/>
    <col min="16" max="16" width="8.3984375" style="1" customWidth="1"/>
    <col min="17" max="17" width="8.09765625" style="1" customWidth="1"/>
    <col min="18" max="18" width="8.3984375" style="1" customWidth="1"/>
    <col min="19" max="19" width="9" style="1" customWidth="1"/>
    <col min="20" max="20" width="29.796875" style="1" customWidth="1"/>
    <col min="21" max="21" width="8.796875" style="1" customWidth="1"/>
    <col min="22" max="256" width="6.796875" style="1" customWidth="1"/>
  </cols>
  <sheetData>
    <row r="1" spans="1:27" ht="18" customHeight="1" x14ac:dyDescent="0.3">
      <c r="A1" s="2"/>
      <c r="B1" s="3" t="s">
        <v>0</v>
      </c>
      <c r="C1" s="2"/>
      <c r="D1" s="4"/>
      <c r="E1" s="2"/>
      <c r="F1" s="4"/>
      <c r="G1" s="4"/>
      <c r="H1" s="2"/>
      <c r="I1" s="4"/>
      <c r="J1" s="4"/>
      <c r="K1" s="2"/>
      <c r="L1" s="4"/>
      <c r="M1" s="5"/>
      <c r="N1" s="5"/>
      <c r="O1" s="5"/>
      <c r="P1" s="4"/>
      <c r="Q1" s="4"/>
      <c r="R1" s="6"/>
      <c r="S1" s="6"/>
      <c r="T1" s="6"/>
      <c r="U1" s="6"/>
      <c r="V1" s="7"/>
      <c r="W1" s="8"/>
      <c r="X1" s="8"/>
      <c r="Y1" s="8"/>
      <c r="Z1" s="8"/>
      <c r="AA1" s="8"/>
    </row>
    <row r="2" spans="1:27" ht="19.149999999999999" customHeight="1" x14ac:dyDescent="0.25">
      <c r="A2" s="9"/>
      <c r="B2" s="307" t="s">
        <v>458</v>
      </c>
      <c r="C2" s="10"/>
      <c r="D2" s="10"/>
      <c r="E2" s="11"/>
      <c r="F2" s="10"/>
      <c r="G2" s="12" t="s">
        <v>1</v>
      </c>
      <c r="H2" s="10"/>
      <c r="I2" s="395" t="s">
        <v>491</v>
      </c>
      <c r="J2" s="10"/>
      <c r="K2" s="9"/>
      <c r="L2" s="10"/>
      <c r="M2" s="395" t="s">
        <v>491</v>
      </c>
      <c r="N2" s="13"/>
      <c r="O2" s="13"/>
      <c r="P2" s="395" t="s">
        <v>491</v>
      </c>
      <c r="Q2" s="10"/>
      <c r="R2" s="14"/>
      <c r="S2" s="396"/>
      <c r="T2" s="14"/>
      <c r="U2" s="6"/>
      <c r="V2" s="7"/>
      <c r="W2" s="8"/>
      <c r="X2" s="8"/>
      <c r="Y2" s="8"/>
      <c r="Z2" s="8"/>
      <c r="AA2" s="8"/>
    </row>
    <row r="3" spans="1:27" ht="80.45" customHeight="1" x14ac:dyDescent="0.25">
      <c r="A3" s="341"/>
      <c r="B3" s="342" t="s">
        <v>2</v>
      </c>
      <c r="C3" s="17" t="s">
        <v>3</v>
      </c>
      <c r="D3" s="18"/>
      <c r="E3" s="17" t="s">
        <v>4</v>
      </c>
      <c r="F3" s="15"/>
      <c r="G3" s="16" t="s">
        <v>5</v>
      </c>
      <c r="H3" s="17" t="s">
        <v>6</v>
      </c>
      <c r="I3" s="17" t="s">
        <v>7</v>
      </c>
      <c r="J3" s="17" t="s">
        <v>8</v>
      </c>
      <c r="K3" s="17" t="s">
        <v>9</v>
      </c>
      <c r="L3" s="16" t="s">
        <v>10</v>
      </c>
      <c r="M3" s="17" t="s">
        <v>11</v>
      </c>
      <c r="N3" s="17" t="s">
        <v>12</v>
      </c>
      <c r="O3" s="17" t="s">
        <v>13</v>
      </c>
      <c r="P3" s="17" t="s">
        <v>14</v>
      </c>
      <c r="Q3" s="17" t="s">
        <v>15</v>
      </c>
      <c r="R3" s="19" t="s">
        <v>16</v>
      </c>
      <c r="S3" s="20" t="s">
        <v>17</v>
      </c>
      <c r="T3" s="21" t="s">
        <v>18</v>
      </c>
      <c r="U3" s="22" t="s">
        <v>19</v>
      </c>
      <c r="V3" s="23" t="s">
        <v>20</v>
      </c>
      <c r="W3" s="8"/>
      <c r="X3" s="8"/>
      <c r="Y3" s="8"/>
      <c r="Z3" s="8"/>
      <c r="AA3" s="8"/>
    </row>
    <row r="4" spans="1:27" ht="17.649999999999999" customHeight="1" x14ac:dyDescent="0.25">
      <c r="A4" s="24"/>
      <c r="B4" s="25"/>
      <c r="C4" s="25"/>
      <c r="D4" s="25"/>
      <c r="E4" s="26"/>
      <c r="F4" s="24"/>
      <c r="G4" s="25"/>
      <c r="H4" s="27"/>
      <c r="I4" s="28"/>
      <c r="J4" s="28"/>
      <c r="K4" s="25"/>
      <c r="L4" s="24"/>
      <c r="M4" s="25"/>
      <c r="N4" s="26"/>
      <c r="O4" s="25"/>
      <c r="P4" s="26"/>
      <c r="Q4" s="28"/>
      <c r="R4" s="27"/>
      <c r="S4" s="27"/>
      <c r="T4" s="27"/>
      <c r="U4" s="6"/>
      <c r="V4" s="7"/>
      <c r="W4" s="8"/>
      <c r="X4" s="8"/>
      <c r="Y4" s="8"/>
      <c r="Z4" s="8"/>
      <c r="AA4" s="8"/>
    </row>
    <row r="5" spans="1:27" ht="23.65" customHeight="1" x14ac:dyDescent="0.3">
      <c r="A5" s="2"/>
      <c r="B5" s="383" t="s">
        <v>21</v>
      </c>
      <c r="C5" s="384"/>
      <c r="D5" s="384"/>
      <c r="E5" s="384"/>
      <c r="F5" s="384"/>
      <c r="G5" s="384"/>
      <c r="H5" s="2"/>
      <c r="I5" s="29"/>
      <c r="J5" s="29"/>
      <c r="K5" s="29"/>
      <c r="L5" s="2"/>
      <c r="M5" s="30"/>
      <c r="N5" s="31"/>
      <c r="O5" s="2"/>
      <c r="P5" s="32"/>
      <c r="Q5" s="29"/>
      <c r="R5" s="33"/>
      <c r="S5" s="6"/>
      <c r="T5" s="6"/>
      <c r="U5" s="6"/>
      <c r="V5" s="7"/>
      <c r="W5" s="8"/>
      <c r="X5" s="8"/>
      <c r="Y5" s="8"/>
      <c r="Z5" s="8"/>
      <c r="AA5" s="8"/>
    </row>
    <row r="6" spans="1:27" ht="16.149999999999999" customHeight="1" x14ac:dyDescent="0.25">
      <c r="A6" s="34" t="s">
        <v>22</v>
      </c>
      <c r="B6" s="35" t="s">
        <v>23</v>
      </c>
      <c r="C6" s="35" t="s">
        <v>24</v>
      </c>
      <c r="D6" s="2"/>
      <c r="E6" s="36" t="s">
        <v>25</v>
      </c>
      <c r="F6" s="2"/>
      <c r="G6" s="37" t="s">
        <v>26</v>
      </c>
      <c r="H6" s="35" t="s">
        <v>27</v>
      </c>
      <c r="I6" s="35">
        <v>2601828</v>
      </c>
      <c r="J6" s="35">
        <v>2701070</v>
      </c>
      <c r="K6" s="35">
        <v>7175094</v>
      </c>
      <c r="L6" s="38">
        <v>45000</v>
      </c>
      <c r="M6" s="36" t="s">
        <v>28</v>
      </c>
      <c r="N6" s="39">
        <v>97</v>
      </c>
      <c r="O6" s="39">
        <v>1000</v>
      </c>
      <c r="P6" s="40">
        <f>L6/1000*N6</f>
        <v>4365</v>
      </c>
      <c r="Q6" s="41">
        <v>4365</v>
      </c>
      <c r="R6" s="40">
        <v>4365</v>
      </c>
      <c r="S6" s="42">
        <f>P6-R6</f>
        <v>0</v>
      </c>
      <c r="T6" s="6"/>
      <c r="U6" s="6"/>
      <c r="V6" s="7"/>
      <c r="W6" s="8"/>
      <c r="X6" s="8"/>
      <c r="Y6" s="8"/>
      <c r="Z6" s="8"/>
      <c r="AA6" s="8"/>
    </row>
    <row r="7" spans="1:27" ht="16.149999999999999" customHeight="1" x14ac:dyDescent="0.25">
      <c r="A7" s="2"/>
      <c r="B7" s="30"/>
      <c r="C7" s="2"/>
      <c r="D7" s="2"/>
      <c r="E7" s="36" t="s">
        <v>29</v>
      </c>
      <c r="F7" s="2"/>
      <c r="G7" s="37" t="s">
        <v>30</v>
      </c>
      <c r="H7" s="30"/>
      <c r="I7" s="30"/>
      <c r="J7" s="30"/>
      <c r="K7" s="43">
        <v>41185</v>
      </c>
      <c r="L7" s="25"/>
      <c r="M7" s="36" t="s">
        <v>31</v>
      </c>
      <c r="N7" s="39"/>
      <c r="O7" s="39"/>
      <c r="P7" s="44"/>
      <c r="Q7" s="45"/>
      <c r="R7" s="44"/>
      <c r="S7" s="27"/>
      <c r="T7" s="6"/>
      <c r="U7" s="6"/>
      <c r="V7" s="7"/>
      <c r="W7" s="8"/>
      <c r="X7" s="8"/>
      <c r="Y7" s="8"/>
      <c r="Z7" s="8"/>
      <c r="AA7" s="8"/>
    </row>
    <row r="8" spans="1:27" ht="19.149999999999999" customHeight="1" x14ac:dyDescent="0.25">
      <c r="A8" s="2"/>
      <c r="B8" s="30"/>
      <c r="C8" s="2"/>
      <c r="D8" s="2"/>
      <c r="E8" s="2"/>
      <c r="F8" s="2"/>
      <c r="G8" s="37" t="s">
        <v>32</v>
      </c>
      <c r="H8" s="30"/>
      <c r="I8" s="30"/>
      <c r="J8" s="30"/>
      <c r="K8" s="46"/>
      <c r="L8" s="30"/>
      <c r="M8" s="2"/>
      <c r="N8" s="39"/>
      <c r="O8" s="39"/>
      <c r="P8" s="47"/>
      <c r="Q8" s="48"/>
      <c r="R8" s="33"/>
      <c r="S8" s="6"/>
      <c r="T8" s="6"/>
      <c r="U8" s="6"/>
      <c r="V8" s="7"/>
      <c r="W8" s="8"/>
      <c r="X8" s="8"/>
      <c r="Y8" s="8"/>
      <c r="Z8" s="8"/>
      <c r="AA8" s="8"/>
    </row>
    <row r="9" spans="1:27" ht="19.149999999999999" customHeight="1" x14ac:dyDescent="0.25">
      <c r="A9" s="2"/>
      <c r="B9" s="30"/>
      <c r="C9" s="2"/>
      <c r="D9" s="2"/>
      <c r="E9" s="2"/>
      <c r="F9" s="2"/>
      <c r="G9" s="2"/>
      <c r="H9" s="30"/>
      <c r="I9" s="30"/>
      <c r="J9" s="30"/>
      <c r="K9" s="30"/>
      <c r="L9" s="30"/>
      <c r="M9" s="2"/>
      <c r="N9" s="39"/>
      <c r="O9" s="39"/>
      <c r="P9" s="47"/>
      <c r="Q9" s="48"/>
      <c r="R9" s="33"/>
      <c r="S9" s="6"/>
      <c r="T9" s="6"/>
      <c r="U9" s="6"/>
      <c r="V9" s="7"/>
      <c r="W9" s="8"/>
      <c r="X9" s="8"/>
      <c r="Y9" s="8"/>
      <c r="Z9" s="8"/>
      <c r="AA9" s="8"/>
    </row>
    <row r="10" spans="1:27" ht="19.149999999999999" customHeight="1" x14ac:dyDescent="0.25">
      <c r="A10" s="2"/>
      <c r="B10" s="30"/>
      <c r="C10" s="2"/>
      <c r="D10" s="2"/>
      <c r="E10" s="2"/>
      <c r="F10" s="2"/>
      <c r="G10" s="2"/>
      <c r="H10" s="30"/>
      <c r="I10" s="30"/>
      <c r="J10" s="30"/>
      <c r="K10" s="30"/>
      <c r="L10" s="30"/>
      <c r="M10" s="2"/>
      <c r="N10" s="39"/>
      <c r="O10" s="39"/>
      <c r="P10" s="47"/>
      <c r="Q10" s="48"/>
      <c r="R10" s="33"/>
      <c r="S10" s="6"/>
      <c r="T10" s="6"/>
      <c r="U10" s="6"/>
      <c r="V10" s="7"/>
      <c r="W10" s="8"/>
      <c r="X10" s="8"/>
      <c r="Y10" s="8"/>
      <c r="Z10" s="8"/>
      <c r="AA10" s="8"/>
    </row>
    <row r="11" spans="1:27" ht="16.149999999999999" customHeight="1" x14ac:dyDescent="0.25">
      <c r="A11" s="34" t="s">
        <v>33</v>
      </c>
      <c r="B11" s="35" t="s">
        <v>34</v>
      </c>
      <c r="C11" s="35" t="s">
        <v>24</v>
      </c>
      <c r="D11" s="2"/>
      <c r="E11" s="37" t="s">
        <v>35</v>
      </c>
      <c r="F11" s="2"/>
      <c r="G11" s="37" t="s">
        <v>36</v>
      </c>
      <c r="H11" s="35" t="s">
        <v>27</v>
      </c>
      <c r="I11" s="35">
        <v>2601788</v>
      </c>
      <c r="J11" s="35">
        <v>2701072</v>
      </c>
      <c r="K11" s="35">
        <v>71644149</v>
      </c>
      <c r="L11" s="39"/>
      <c r="M11" s="2"/>
      <c r="N11" s="39"/>
      <c r="O11" s="39"/>
      <c r="P11" s="47"/>
      <c r="Q11" s="48"/>
      <c r="R11" s="33"/>
      <c r="S11" s="6"/>
      <c r="T11" s="2"/>
      <c r="U11" s="6"/>
      <c r="V11" s="7"/>
      <c r="W11" s="8"/>
      <c r="X11" s="8"/>
      <c r="Y11" s="8"/>
      <c r="Z11" s="8"/>
      <c r="AA11" s="8"/>
    </row>
    <row r="12" spans="1:27" ht="16.149999999999999" customHeight="1" x14ac:dyDescent="0.25">
      <c r="A12" s="2"/>
      <c r="B12" s="30"/>
      <c r="C12" s="2"/>
      <c r="D12" s="2"/>
      <c r="E12" s="2"/>
      <c r="F12" s="2"/>
      <c r="G12" s="37" t="s">
        <v>37</v>
      </c>
      <c r="H12" s="30"/>
      <c r="I12" s="30"/>
      <c r="J12" s="30"/>
      <c r="K12" s="43">
        <v>41330</v>
      </c>
      <c r="L12" s="30"/>
      <c r="M12" s="2"/>
      <c r="N12" s="39"/>
      <c r="O12" s="39"/>
      <c r="P12" s="47"/>
      <c r="Q12" s="48"/>
      <c r="R12" s="33"/>
      <c r="S12" s="6"/>
      <c r="T12" s="6"/>
      <c r="U12" s="6"/>
      <c r="V12" s="7"/>
      <c r="W12" s="8"/>
      <c r="X12" s="8"/>
      <c r="Y12" s="8"/>
      <c r="Z12" s="8"/>
      <c r="AA12" s="8"/>
    </row>
    <row r="13" spans="1:27" ht="19.149999999999999" customHeight="1" x14ac:dyDescent="0.25">
      <c r="A13" s="2"/>
      <c r="B13" s="30"/>
      <c r="C13" s="2"/>
      <c r="D13" s="2"/>
      <c r="E13" s="2"/>
      <c r="F13" s="2"/>
      <c r="G13" s="37" t="s">
        <v>38</v>
      </c>
      <c r="H13" s="30"/>
      <c r="I13" s="30"/>
      <c r="J13" s="30"/>
      <c r="K13" s="30"/>
      <c r="L13" s="30"/>
      <c r="M13" s="2"/>
      <c r="N13" s="39"/>
      <c r="O13" s="39"/>
      <c r="P13" s="47"/>
      <c r="Q13" s="48"/>
      <c r="R13" s="33"/>
      <c r="S13" s="6"/>
      <c r="T13" s="6"/>
      <c r="U13" s="6"/>
      <c r="V13" s="7"/>
      <c r="W13" s="8"/>
      <c r="X13" s="8"/>
      <c r="Y13" s="8"/>
      <c r="Z13" s="8"/>
      <c r="AA13" s="8"/>
    </row>
    <row r="14" spans="1:27" ht="19.149999999999999" customHeight="1" x14ac:dyDescent="0.25">
      <c r="A14" s="2"/>
      <c r="B14" s="30"/>
      <c r="C14" s="2"/>
      <c r="D14" s="2"/>
      <c r="E14" s="2"/>
      <c r="F14" s="2"/>
      <c r="G14" s="37" t="s">
        <v>39</v>
      </c>
      <c r="H14" s="30"/>
      <c r="I14" s="30"/>
      <c r="J14" s="49"/>
      <c r="K14" s="30"/>
      <c r="L14" s="49"/>
      <c r="M14" s="50"/>
      <c r="N14" s="51"/>
      <c r="O14" s="51"/>
      <c r="P14" s="47"/>
      <c r="Q14" s="48"/>
      <c r="R14" s="33"/>
      <c r="S14" s="6"/>
      <c r="T14" s="6"/>
      <c r="U14" s="6"/>
      <c r="V14" s="7"/>
      <c r="W14" s="8"/>
      <c r="X14" s="8"/>
      <c r="Y14" s="8"/>
      <c r="Z14" s="8"/>
      <c r="AA14" s="8"/>
    </row>
    <row r="15" spans="1:27" ht="19.149999999999999" customHeight="1" x14ac:dyDescent="0.25">
      <c r="A15" s="2"/>
      <c r="B15" s="30"/>
      <c r="C15" s="2"/>
      <c r="D15" s="2"/>
      <c r="E15" s="37" t="s">
        <v>40</v>
      </c>
      <c r="F15" s="2"/>
      <c r="G15" s="37" t="s">
        <v>41</v>
      </c>
      <c r="H15" s="30"/>
      <c r="I15" s="30"/>
      <c r="J15" s="49"/>
      <c r="K15" s="30"/>
      <c r="L15" s="39">
        <v>2000</v>
      </c>
      <c r="M15" s="36" t="s">
        <v>42</v>
      </c>
      <c r="N15" s="39">
        <v>50</v>
      </c>
      <c r="O15" s="39">
        <v>1000</v>
      </c>
      <c r="P15" s="33">
        <f>(L15/O15)*N15</f>
        <v>100</v>
      </c>
      <c r="Q15" s="48">
        <v>100</v>
      </c>
      <c r="R15" s="33">
        <v>100</v>
      </c>
      <c r="S15" s="6">
        <f t="shared" ref="S15:S20" si="0">P15-R15</f>
        <v>0</v>
      </c>
      <c r="T15" s="6"/>
      <c r="U15" s="6"/>
      <c r="V15" s="7"/>
      <c r="W15" s="8"/>
      <c r="X15" s="8"/>
      <c r="Y15" s="8"/>
      <c r="Z15" s="8"/>
      <c r="AA15" s="8"/>
    </row>
    <row r="16" spans="1:27" ht="19.149999999999999" customHeight="1" x14ac:dyDescent="0.25">
      <c r="A16" s="2"/>
      <c r="B16" s="30"/>
      <c r="C16" s="2"/>
      <c r="D16" s="2"/>
      <c r="E16" s="37" t="s">
        <v>43</v>
      </c>
      <c r="F16" s="2"/>
      <c r="G16" s="37" t="s">
        <v>44</v>
      </c>
      <c r="H16" s="30"/>
      <c r="I16" s="30"/>
      <c r="J16" s="49"/>
      <c r="K16" s="30"/>
      <c r="L16" s="39">
        <v>900</v>
      </c>
      <c r="M16" s="36" t="s">
        <v>42</v>
      </c>
      <c r="N16" s="39">
        <v>50</v>
      </c>
      <c r="O16" s="39">
        <v>1000</v>
      </c>
      <c r="P16" s="33">
        <f>(L16/O16)*N16</f>
        <v>45</v>
      </c>
      <c r="Q16" s="48">
        <v>45</v>
      </c>
      <c r="R16" s="33">
        <v>45</v>
      </c>
      <c r="S16" s="6">
        <f t="shared" si="0"/>
        <v>0</v>
      </c>
      <c r="T16" s="6"/>
      <c r="U16" s="6"/>
      <c r="V16" s="7"/>
      <c r="W16" s="8"/>
      <c r="X16" s="8"/>
      <c r="Y16" s="8"/>
      <c r="Z16" s="8"/>
      <c r="AA16" s="8"/>
    </row>
    <row r="17" spans="1:27" ht="19.149999999999999" customHeight="1" x14ac:dyDescent="0.25">
      <c r="A17" s="2"/>
      <c r="B17" s="30"/>
      <c r="C17" s="2"/>
      <c r="D17" s="2"/>
      <c r="E17" s="37" t="s">
        <v>45</v>
      </c>
      <c r="F17" s="2"/>
      <c r="G17" s="37" t="s">
        <v>46</v>
      </c>
      <c r="H17" s="30"/>
      <c r="I17" s="30"/>
      <c r="J17" s="49"/>
      <c r="K17" s="30"/>
      <c r="L17" s="39">
        <v>1250</v>
      </c>
      <c r="M17" s="36" t="s">
        <v>47</v>
      </c>
      <c r="N17" s="39">
        <v>100</v>
      </c>
      <c r="O17" s="39">
        <v>7</v>
      </c>
      <c r="P17" s="33">
        <f>N17*O17</f>
        <v>700</v>
      </c>
      <c r="Q17" s="48">
        <v>700</v>
      </c>
      <c r="R17" s="33">
        <v>700</v>
      </c>
      <c r="S17" s="6">
        <f t="shared" si="0"/>
        <v>0</v>
      </c>
      <c r="T17" s="6"/>
      <c r="U17" s="6"/>
      <c r="V17" s="7"/>
      <c r="W17" s="8"/>
      <c r="X17" s="8"/>
      <c r="Y17" s="8"/>
      <c r="Z17" s="8"/>
      <c r="AA17" s="8"/>
    </row>
    <row r="18" spans="1:27" ht="19.149999999999999" customHeight="1" x14ac:dyDescent="0.25">
      <c r="A18" s="2"/>
      <c r="B18" s="30"/>
      <c r="C18" s="2"/>
      <c r="D18" s="2"/>
      <c r="E18" s="37" t="s">
        <v>48</v>
      </c>
      <c r="F18" s="2"/>
      <c r="G18" s="37" t="s">
        <v>49</v>
      </c>
      <c r="H18" s="30"/>
      <c r="I18" s="30"/>
      <c r="J18" s="49"/>
      <c r="K18" s="30"/>
      <c r="L18" s="39">
        <v>1140</v>
      </c>
      <c r="M18" s="36" t="s">
        <v>42</v>
      </c>
      <c r="N18" s="39">
        <v>50</v>
      </c>
      <c r="O18" s="39">
        <v>1000</v>
      </c>
      <c r="P18" s="33">
        <f>(L18/O18)*N18</f>
        <v>56.999999999999993</v>
      </c>
      <c r="Q18" s="48">
        <v>57</v>
      </c>
      <c r="R18" s="33">
        <v>57</v>
      </c>
      <c r="S18" s="6">
        <f t="shared" si="0"/>
        <v>0</v>
      </c>
      <c r="T18" s="6"/>
      <c r="U18" s="6"/>
      <c r="V18" s="7"/>
      <c r="W18" s="8"/>
      <c r="X18" s="8"/>
      <c r="Y18" s="8"/>
      <c r="Z18" s="8"/>
      <c r="AA18" s="8"/>
    </row>
    <row r="19" spans="1:27" ht="19.149999999999999" customHeight="1" x14ac:dyDescent="0.25">
      <c r="A19" s="2"/>
      <c r="B19" s="30"/>
      <c r="C19" s="2"/>
      <c r="D19" s="2"/>
      <c r="E19" s="36" t="s">
        <v>50</v>
      </c>
      <c r="F19" s="2"/>
      <c r="G19" s="37" t="s">
        <v>51</v>
      </c>
      <c r="H19" s="30"/>
      <c r="I19" s="30"/>
      <c r="J19" s="49"/>
      <c r="K19" s="30"/>
      <c r="L19" s="39">
        <v>2264</v>
      </c>
      <c r="M19" s="36" t="s">
        <v>42</v>
      </c>
      <c r="N19" s="39">
        <v>50</v>
      </c>
      <c r="O19" s="39">
        <v>1000</v>
      </c>
      <c r="P19" s="33">
        <f>(L19/O19)*N19</f>
        <v>113.19999999999999</v>
      </c>
      <c r="Q19" s="48">
        <v>114</v>
      </c>
      <c r="R19" s="33">
        <v>113</v>
      </c>
      <c r="S19" s="6">
        <f t="shared" si="0"/>
        <v>0.19999999999998863</v>
      </c>
      <c r="T19" s="6"/>
      <c r="U19" s="6"/>
      <c r="V19" s="7"/>
      <c r="W19" s="8"/>
      <c r="X19" s="8"/>
      <c r="Y19" s="8"/>
      <c r="Z19" s="8"/>
      <c r="AA19" s="8"/>
    </row>
    <row r="20" spans="1:27" ht="19.149999999999999" customHeight="1" x14ac:dyDescent="0.25">
      <c r="A20" s="2"/>
      <c r="B20" s="30"/>
      <c r="C20" s="2"/>
      <c r="D20" s="2"/>
      <c r="E20" s="37" t="s">
        <v>52</v>
      </c>
      <c r="F20" s="2"/>
      <c r="G20" s="37" t="s">
        <v>53</v>
      </c>
      <c r="H20" s="30"/>
      <c r="I20" s="30"/>
      <c r="J20" s="49"/>
      <c r="K20" s="30"/>
      <c r="L20" s="39">
        <v>1291</v>
      </c>
      <c r="M20" s="36" t="s">
        <v>42</v>
      </c>
      <c r="N20" s="39">
        <v>50</v>
      </c>
      <c r="O20" s="39">
        <v>1000</v>
      </c>
      <c r="P20" s="33">
        <f>(L20/O20)*N20</f>
        <v>64.55</v>
      </c>
      <c r="Q20" s="52">
        <v>64</v>
      </c>
      <c r="R20" s="53">
        <v>65</v>
      </c>
      <c r="S20" s="14">
        <f t="shared" si="0"/>
        <v>-0.45000000000000284</v>
      </c>
      <c r="T20" s="303" t="s">
        <v>456</v>
      </c>
      <c r="U20" s="6"/>
      <c r="V20" s="7"/>
      <c r="W20" s="8"/>
      <c r="X20" s="8"/>
      <c r="Y20" s="8"/>
      <c r="Z20" s="8"/>
      <c r="AA20" s="8"/>
    </row>
    <row r="21" spans="1:27" ht="19.149999999999999" customHeight="1" x14ac:dyDescent="0.25">
      <c r="A21" s="2"/>
      <c r="B21" s="30"/>
      <c r="C21" s="2"/>
      <c r="D21" s="2"/>
      <c r="E21" s="36" t="s">
        <v>54</v>
      </c>
      <c r="F21" s="2"/>
      <c r="G21" s="37" t="s">
        <v>55</v>
      </c>
      <c r="H21" s="30"/>
      <c r="I21" s="30"/>
      <c r="J21" s="49"/>
      <c r="K21" s="30"/>
      <c r="L21" s="39">
        <v>155</v>
      </c>
      <c r="M21" s="50"/>
      <c r="N21" s="51"/>
      <c r="O21" s="51"/>
      <c r="P21" s="54"/>
      <c r="Q21" s="45"/>
      <c r="R21" s="44"/>
      <c r="S21" s="27"/>
      <c r="T21" s="304" t="s">
        <v>465</v>
      </c>
      <c r="U21" s="6"/>
      <c r="V21" s="7"/>
      <c r="W21" s="8"/>
      <c r="X21" s="8"/>
      <c r="Y21" s="8"/>
      <c r="Z21" s="8"/>
      <c r="AA21" s="8"/>
    </row>
    <row r="22" spans="1:27" ht="19.149999999999999" customHeight="1" x14ac:dyDescent="0.25">
      <c r="A22" s="2"/>
      <c r="B22" s="30"/>
      <c r="C22" s="2"/>
      <c r="D22" s="2"/>
      <c r="E22" s="55"/>
      <c r="F22" s="2"/>
      <c r="G22" s="6"/>
      <c r="H22" s="30"/>
      <c r="I22" s="7"/>
      <c r="J22" s="49"/>
      <c r="K22" s="30"/>
      <c r="L22" s="56">
        <f>SUM(L15:L21)</f>
        <v>9000</v>
      </c>
      <c r="M22" s="34" t="s">
        <v>56</v>
      </c>
      <c r="N22" s="51"/>
      <c r="O22" s="51"/>
      <c r="P22" s="57">
        <f>SUM(P15:P21)</f>
        <v>1079.75</v>
      </c>
      <c r="Q22" s="57">
        <f>SUM(Q15:Q21)</f>
        <v>1080</v>
      </c>
      <c r="R22" s="57">
        <f>SUM(R15:R21)</f>
        <v>1080</v>
      </c>
      <c r="S22" s="42">
        <f>P22-R22</f>
        <v>-0.25</v>
      </c>
      <c r="T22" s="6"/>
      <c r="U22" s="6"/>
      <c r="V22" s="7"/>
      <c r="W22" s="8"/>
      <c r="X22" s="8"/>
      <c r="Y22" s="8"/>
      <c r="Z22" s="8"/>
      <c r="AA22" s="8"/>
    </row>
    <row r="23" spans="1:27" ht="19.149999999999999" customHeight="1" x14ac:dyDescent="0.25">
      <c r="A23" s="2"/>
      <c r="B23" s="30"/>
      <c r="C23" s="2"/>
      <c r="D23" s="2"/>
      <c r="E23" s="2"/>
      <c r="F23" s="2"/>
      <c r="G23" s="2"/>
      <c r="H23" s="30"/>
      <c r="I23" s="30"/>
      <c r="J23" s="30"/>
      <c r="K23" s="30"/>
      <c r="L23" s="58"/>
      <c r="M23" s="2"/>
      <c r="N23" s="39"/>
      <c r="O23" s="39"/>
      <c r="P23" s="54"/>
      <c r="Q23" s="45"/>
      <c r="R23" s="44"/>
      <c r="S23" s="27"/>
      <c r="T23" s="6"/>
      <c r="U23" s="6"/>
      <c r="V23" s="7"/>
      <c r="W23" s="8"/>
      <c r="X23" s="8"/>
      <c r="Y23" s="8"/>
      <c r="Z23" s="8"/>
      <c r="AA23" s="8"/>
    </row>
    <row r="24" spans="1:27" ht="16.149999999999999" customHeight="1" x14ac:dyDescent="0.25">
      <c r="A24" s="34" t="s">
        <v>57</v>
      </c>
      <c r="B24" s="35" t="s">
        <v>58</v>
      </c>
      <c r="C24" s="35" t="s">
        <v>59</v>
      </c>
      <c r="D24" s="2"/>
      <c r="E24" s="37" t="s">
        <v>60</v>
      </c>
      <c r="F24" s="2"/>
      <c r="G24" s="37" t="s">
        <v>61</v>
      </c>
      <c r="H24" s="35" t="s">
        <v>27</v>
      </c>
      <c r="I24" s="35">
        <v>2601769</v>
      </c>
      <c r="J24" s="30">
        <v>2701073</v>
      </c>
      <c r="K24" s="35">
        <v>71849373</v>
      </c>
      <c r="L24" s="39"/>
      <c r="M24" s="2"/>
      <c r="N24" s="39"/>
      <c r="O24" s="39"/>
      <c r="P24" s="59"/>
      <c r="Q24" s="48"/>
      <c r="R24" s="33"/>
      <c r="S24" s="6"/>
      <c r="T24" s="6"/>
      <c r="U24" s="6"/>
      <c r="V24" s="7"/>
      <c r="W24" s="8"/>
      <c r="X24" s="8"/>
      <c r="Y24" s="8"/>
      <c r="Z24" s="8"/>
      <c r="AA24" s="8"/>
    </row>
    <row r="25" spans="1:27" ht="16.149999999999999" customHeight="1" x14ac:dyDescent="0.25">
      <c r="A25" s="2"/>
      <c r="B25" s="30"/>
      <c r="C25" s="2"/>
      <c r="D25" s="2"/>
      <c r="E25" s="2"/>
      <c r="F25" s="2"/>
      <c r="G25" s="37" t="s">
        <v>37</v>
      </c>
      <c r="H25" s="30"/>
      <c r="I25" s="30"/>
      <c r="J25" s="30"/>
      <c r="K25" s="43">
        <v>41330</v>
      </c>
      <c r="L25" s="30"/>
      <c r="M25" s="2"/>
      <c r="N25" s="39"/>
      <c r="O25" s="39"/>
      <c r="P25" s="60"/>
      <c r="Q25" s="48"/>
      <c r="R25" s="33"/>
      <c r="S25" s="6"/>
      <c r="T25" s="6"/>
      <c r="U25" s="6"/>
      <c r="V25" s="7"/>
      <c r="W25" s="8"/>
      <c r="X25" s="8"/>
      <c r="Y25" s="8"/>
      <c r="Z25" s="8"/>
      <c r="AA25" s="8"/>
    </row>
    <row r="26" spans="1:27" ht="19.149999999999999" customHeight="1" x14ac:dyDescent="0.25">
      <c r="A26" s="2"/>
      <c r="B26" s="30"/>
      <c r="C26" s="2"/>
      <c r="D26" s="2"/>
      <c r="E26" s="2"/>
      <c r="F26" s="2"/>
      <c r="G26" s="37" t="s">
        <v>38</v>
      </c>
      <c r="H26" s="30"/>
      <c r="I26" s="30"/>
      <c r="J26" s="30"/>
      <c r="K26" s="30"/>
      <c r="L26" s="30"/>
      <c r="M26" s="2"/>
      <c r="N26" s="39"/>
      <c r="O26" s="39"/>
      <c r="P26" s="60"/>
      <c r="Q26" s="48"/>
      <c r="R26" s="33"/>
      <c r="S26" s="6"/>
      <c r="T26" s="6"/>
      <c r="U26" s="6"/>
      <c r="V26" s="7"/>
      <c r="W26" s="8"/>
      <c r="X26" s="8"/>
      <c r="Y26" s="8"/>
      <c r="Z26" s="8"/>
      <c r="AA26" s="8"/>
    </row>
    <row r="27" spans="1:27" ht="19.149999999999999" customHeight="1" x14ac:dyDescent="0.25">
      <c r="A27" s="2"/>
      <c r="B27" s="30"/>
      <c r="C27" s="2"/>
      <c r="D27" s="2"/>
      <c r="E27" s="2"/>
      <c r="F27" s="2"/>
      <c r="G27" s="37" t="s">
        <v>39</v>
      </c>
      <c r="H27" s="30"/>
      <c r="I27" s="30"/>
      <c r="J27" s="30"/>
      <c r="K27" s="30"/>
      <c r="L27" s="30"/>
      <c r="M27" s="2"/>
      <c r="N27" s="39"/>
      <c r="O27" s="39"/>
      <c r="P27" s="60"/>
      <c r="Q27" s="48"/>
      <c r="R27" s="33"/>
      <c r="S27" s="6"/>
      <c r="T27" s="6"/>
      <c r="U27" s="6"/>
      <c r="V27" s="7"/>
      <c r="W27" s="8"/>
      <c r="X27" s="8"/>
      <c r="Y27" s="8"/>
      <c r="Z27" s="8"/>
      <c r="AA27" s="8"/>
    </row>
    <row r="28" spans="1:27" ht="19.149999999999999" customHeight="1" x14ac:dyDescent="0.25">
      <c r="A28" s="2"/>
      <c r="B28" s="30"/>
      <c r="C28" s="2"/>
      <c r="D28" s="2"/>
      <c r="E28" s="37" t="s">
        <v>62</v>
      </c>
      <c r="F28" s="2"/>
      <c r="G28" s="37" t="s">
        <v>63</v>
      </c>
      <c r="H28" s="30"/>
      <c r="I28" s="30"/>
      <c r="J28" s="49"/>
      <c r="K28" s="30"/>
      <c r="L28" s="39">
        <v>2000</v>
      </c>
      <c r="M28" s="36" t="s">
        <v>42</v>
      </c>
      <c r="N28" s="39">
        <v>50</v>
      </c>
      <c r="O28" s="39">
        <v>1000</v>
      </c>
      <c r="P28" s="33">
        <f>(L28/O28)*N28</f>
        <v>100</v>
      </c>
      <c r="Q28" s="48">
        <v>100</v>
      </c>
      <c r="R28" s="33">
        <v>100</v>
      </c>
      <c r="S28" s="6">
        <f>P28-R28</f>
        <v>0</v>
      </c>
      <c r="T28" s="6"/>
      <c r="U28" s="6"/>
      <c r="V28" s="7"/>
      <c r="W28" s="8"/>
      <c r="X28" s="8"/>
      <c r="Y28" s="8"/>
      <c r="Z28" s="8"/>
      <c r="AA28" s="8"/>
    </row>
    <row r="29" spans="1:27" ht="19.149999999999999" customHeight="1" x14ac:dyDescent="0.25">
      <c r="A29" s="2"/>
      <c r="B29" s="30"/>
      <c r="C29" s="2"/>
      <c r="D29" s="2"/>
      <c r="E29" s="37" t="s">
        <v>64</v>
      </c>
      <c r="F29" s="2"/>
      <c r="G29" s="37" t="s">
        <v>65</v>
      </c>
      <c r="H29" s="30"/>
      <c r="I29" s="30"/>
      <c r="J29" s="49"/>
      <c r="K29" s="30"/>
      <c r="L29" s="39">
        <v>1200</v>
      </c>
      <c r="M29" s="36" t="s">
        <v>66</v>
      </c>
      <c r="N29" s="39">
        <v>20</v>
      </c>
      <c r="O29" s="39">
        <v>24</v>
      </c>
      <c r="P29" s="33">
        <f>N29*O29</f>
        <v>480</v>
      </c>
      <c r="Q29" s="48">
        <v>600</v>
      </c>
      <c r="R29" s="33">
        <v>480</v>
      </c>
      <c r="S29" s="6">
        <f>P29-R29</f>
        <v>0</v>
      </c>
      <c r="T29" s="304" t="s">
        <v>484</v>
      </c>
      <c r="U29" s="6"/>
      <c r="V29" s="7"/>
      <c r="W29" s="8"/>
      <c r="X29" s="8"/>
      <c r="Y29" s="8"/>
      <c r="Z29" s="8"/>
      <c r="AA29" s="8"/>
    </row>
    <row r="30" spans="1:27" ht="19.149999999999999" customHeight="1" x14ac:dyDescent="0.25">
      <c r="A30" s="2"/>
      <c r="B30" s="30"/>
      <c r="C30" s="2"/>
      <c r="D30" s="2"/>
      <c r="E30" s="37" t="s">
        <v>67</v>
      </c>
      <c r="F30" s="2"/>
      <c r="G30" s="37" t="s">
        <v>68</v>
      </c>
      <c r="H30" s="30"/>
      <c r="I30" s="30"/>
      <c r="J30" s="49"/>
      <c r="K30" s="30"/>
      <c r="L30" s="39">
        <v>1620</v>
      </c>
      <c r="M30" s="36" t="s">
        <v>66</v>
      </c>
      <c r="N30" s="39">
        <v>20</v>
      </c>
      <c r="O30" s="39">
        <v>16</v>
      </c>
      <c r="P30" s="33">
        <f>N30*O30</f>
        <v>320</v>
      </c>
      <c r="Q30" s="48">
        <v>320</v>
      </c>
      <c r="R30" s="33">
        <v>320</v>
      </c>
      <c r="S30" s="6">
        <f>P30-R30</f>
        <v>0</v>
      </c>
      <c r="T30" s="6"/>
      <c r="U30" s="6"/>
      <c r="V30" s="7"/>
      <c r="W30" s="8"/>
      <c r="X30" s="8"/>
      <c r="Y30" s="8"/>
      <c r="Z30" s="8"/>
      <c r="AA30" s="8"/>
    </row>
    <row r="31" spans="1:27" ht="19.149999999999999" customHeight="1" x14ac:dyDescent="0.25">
      <c r="A31" s="2"/>
      <c r="B31" s="30"/>
      <c r="C31" s="2"/>
      <c r="D31" s="2"/>
      <c r="E31" s="36" t="s">
        <v>69</v>
      </c>
      <c r="F31" s="2"/>
      <c r="G31" s="37" t="s">
        <v>70</v>
      </c>
      <c r="H31" s="30"/>
      <c r="I31" s="30"/>
      <c r="J31" s="49"/>
      <c r="K31" s="30"/>
      <c r="L31" s="39">
        <v>4025</v>
      </c>
      <c r="M31" s="36" t="s">
        <v>42</v>
      </c>
      <c r="N31" s="39">
        <v>50</v>
      </c>
      <c r="O31" s="39">
        <v>1000</v>
      </c>
      <c r="P31" s="53">
        <f>(L31/O31)*N31</f>
        <v>201.25000000000003</v>
      </c>
      <c r="Q31" s="52">
        <f>117+85</f>
        <v>202</v>
      </c>
      <c r="R31" s="53">
        <v>201</v>
      </c>
      <c r="S31" s="14">
        <f>P31-R31</f>
        <v>0.25000000000002842</v>
      </c>
      <c r="T31" s="6"/>
      <c r="U31" s="6"/>
      <c r="V31" s="7"/>
      <c r="W31" s="8"/>
      <c r="X31" s="8"/>
      <c r="Y31" s="8"/>
      <c r="Z31" s="8"/>
      <c r="AA31" s="8"/>
    </row>
    <row r="32" spans="1:27" ht="19.149999999999999" customHeight="1" x14ac:dyDescent="0.25">
      <c r="A32" s="2"/>
      <c r="B32" s="30"/>
      <c r="C32" s="2"/>
      <c r="D32" s="2"/>
      <c r="E32" s="36" t="s">
        <v>71</v>
      </c>
      <c r="F32" s="2"/>
      <c r="G32" s="37" t="s">
        <v>55</v>
      </c>
      <c r="H32" s="30"/>
      <c r="I32" s="30"/>
      <c r="J32" s="30"/>
      <c r="K32" s="30"/>
      <c r="L32" s="39">
        <v>155</v>
      </c>
      <c r="M32" s="50"/>
      <c r="N32" s="51"/>
      <c r="O32" s="51"/>
      <c r="P32" s="61"/>
      <c r="Q32" s="45"/>
      <c r="R32" s="44"/>
      <c r="S32" s="27"/>
      <c r="T32" s="6"/>
      <c r="U32" s="6"/>
      <c r="V32" s="7"/>
      <c r="W32" s="8"/>
      <c r="X32" s="8"/>
      <c r="Y32" s="8"/>
      <c r="Z32" s="8"/>
      <c r="AA32" s="8"/>
    </row>
    <row r="33" spans="1:27" ht="19.149999999999999" customHeight="1" x14ac:dyDescent="0.25">
      <c r="A33" s="2"/>
      <c r="B33" s="30"/>
      <c r="C33" s="7"/>
      <c r="D33" s="7"/>
      <c r="E33" s="7"/>
      <c r="F33" s="7"/>
      <c r="G33" s="7"/>
      <c r="H33" s="30"/>
      <c r="I33" s="7"/>
      <c r="J33" s="30"/>
      <c r="K33" s="7"/>
      <c r="L33" s="62">
        <f>SUM(L28:L32)</f>
        <v>9000</v>
      </c>
      <c r="M33" s="34" t="s">
        <v>72</v>
      </c>
      <c r="N33" s="51"/>
      <c r="O33" s="51"/>
      <c r="P33" s="40">
        <f>SUM(P28:P32)</f>
        <v>1101.25</v>
      </c>
      <c r="Q33" s="40">
        <f>SUM(Q28:Q32)</f>
        <v>1222</v>
      </c>
      <c r="R33" s="40">
        <f>SUM(R28:R32)</f>
        <v>1101</v>
      </c>
      <c r="S33" s="42">
        <f>SUM(S28:S32)</f>
        <v>0.25000000000002842</v>
      </c>
      <c r="T33" s="6"/>
      <c r="U33" s="6"/>
      <c r="V33" s="7"/>
      <c r="W33" s="8"/>
      <c r="X33" s="8"/>
      <c r="Y33" s="8"/>
      <c r="Z33" s="8"/>
      <c r="AA33" s="8"/>
    </row>
    <row r="34" spans="1:27" ht="19.149999999999999" customHeight="1" x14ac:dyDescent="0.25">
      <c r="A34" s="2"/>
      <c r="B34" s="30"/>
      <c r="C34" s="63" t="s">
        <v>59</v>
      </c>
      <c r="D34" s="64"/>
      <c r="E34" s="64"/>
      <c r="F34" s="64"/>
      <c r="G34" s="65" t="s">
        <v>73</v>
      </c>
      <c r="H34" s="49"/>
      <c r="I34" s="30">
        <f>I24</f>
        <v>2601769</v>
      </c>
      <c r="J34" s="30"/>
      <c r="K34" s="30">
        <v>74713566</v>
      </c>
      <c r="L34" s="66"/>
      <c r="M34" s="67" t="s">
        <v>74</v>
      </c>
      <c r="N34" s="51"/>
      <c r="O34" s="51"/>
      <c r="P34" s="61"/>
      <c r="Q34" s="45"/>
      <c r="R34" s="68"/>
      <c r="S34" s="27"/>
      <c r="T34" s="2"/>
      <c r="U34" s="2"/>
      <c r="V34" s="2"/>
      <c r="W34" s="8"/>
      <c r="X34" s="8"/>
      <c r="Y34" s="8"/>
      <c r="Z34" s="8"/>
      <c r="AA34" s="8"/>
    </row>
    <row r="35" spans="1:27" ht="19.149999999999999" customHeight="1" x14ac:dyDescent="0.25">
      <c r="A35" s="2"/>
      <c r="B35" s="30"/>
      <c r="C35" s="69"/>
      <c r="D35" s="64"/>
      <c r="E35" s="64"/>
      <c r="F35" s="64"/>
      <c r="G35" s="65" t="s">
        <v>75</v>
      </c>
      <c r="H35" s="49"/>
      <c r="I35" s="30"/>
      <c r="J35" s="30"/>
      <c r="K35" s="30"/>
      <c r="L35" s="51"/>
      <c r="M35" s="50"/>
      <c r="N35" s="51"/>
      <c r="O35" s="51"/>
      <c r="P35" s="70"/>
      <c r="Q35" s="48"/>
      <c r="R35" s="71"/>
      <c r="S35" s="6"/>
      <c r="T35" s="72"/>
      <c r="U35" s="2"/>
      <c r="V35" s="2"/>
      <c r="W35" s="8"/>
      <c r="X35" s="8"/>
      <c r="Y35" s="8"/>
      <c r="Z35" s="8"/>
      <c r="AA35" s="8"/>
    </row>
    <row r="36" spans="1:27" ht="19.149999999999999" customHeight="1" x14ac:dyDescent="0.25">
      <c r="A36" s="2"/>
      <c r="B36" s="30"/>
      <c r="C36" s="69"/>
      <c r="D36" s="64"/>
      <c r="E36" s="64"/>
      <c r="F36" s="64"/>
      <c r="G36" s="69"/>
      <c r="H36" s="49"/>
      <c r="I36" s="30"/>
      <c r="J36" s="30"/>
      <c r="K36" s="30"/>
      <c r="L36" s="51"/>
      <c r="M36" s="50"/>
      <c r="N36" s="51"/>
      <c r="O36" s="51"/>
      <c r="P36" s="70"/>
      <c r="Q36" s="48"/>
      <c r="R36" s="71"/>
      <c r="S36" s="6"/>
      <c r="T36" s="72"/>
      <c r="U36" s="2"/>
      <c r="V36" s="2"/>
      <c r="W36" s="8"/>
      <c r="X36" s="8"/>
      <c r="Y36" s="8"/>
      <c r="Z36" s="8"/>
      <c r="AA36" s="8"/>
    </row>
    <row r="37" spans="1:27" ht="19.149999999999999" customHeight="1" x14ac:dyDescent="0.25">
      <c r="A37" s="2"/>
      <c r="B37" s="30"/>
      <c r="C37" s="2"/>
      <c r="D37" s="2"/>
      <c r="E37" s="2"/>
      <c r="F37" s="2"/>
      <c r="G37" s="46"/>
      <c r="H37" s="30"/>
      <c r="I37" s="30"/>
      <c r="J37" s="30"/>
      <c r="K37" s="30"/>
      <c r="L37" s="39"/>
      <c r="M37" s="2"/>
      <c r="N37" s="39"/>
      <c r="O37" s="39"/>
      <c r="P37" s="47"/>
      <c r="Q37" s="48"/>
      <c r="R37" s="71"/>
      <c r="S37" s="6"/>
      <c r="T37" s="72"/>
      <c r="U37" s="2"/>
      <c r="V37" s="2"/>
      <c r="W37" s="8"/>
      <c r="X37" s="8"/>
      <c r="Y37" s="8"/>
      <c r="Z37" s="8"/>
      <c r="AA37" s="8"/>
    </row>
    <row r="38" spans="1:27" ht="16.149999999999999" customHeight="1" x14ac:dyDescent="0.25">
      <c r="A38" s="34" t="s">
        <v>76</v>
      </c>
      <c r="B38" s="35" t="s">
        <v>77</v>
      </c>
      <c r="C38" s="35" t="s">
        <v>24</v>
      </c>
      <c r="D38" s="2"/>
      <c r="E38" s="37" t="s">
        <v>78</v>
      </c>
      <c r="F38" s="2"/>
      <c r="G38" s="37" t="s">
        <v>79</v>
      </c>
      <c r="H38" s="35" t="s">
        <v>27</v>
      </c>
      <c r="I38" s="35">
        <v>2601762</v>
      </c>
      <c r="J38" s="30">
        <v>2701074</v>
      </c>
      <c r="K38" s="35">
        <v>71849367</v>
      </c>
      <c r="L38" s="39"/>
      <c r="M38" s="2"/>
      <c r="N38" s="39"/>
      <c r="O38" s="39"/>
      <c r="P38" s="47"/>
      <c r="Q38" s="48"/>
      <c r="R38" s="33"/>
      <c r="S38" s="6"/>
      <c r="T38" s="363"/>
      <c r="U38" s="6"/>
      <c r="V38" s="7"/>
      <c r="W38" s="8"/>
      <c r="X38" s="8"/>
      <c r="Y38" s="8"/>
      <c r="Z38" s="8"/>
      <c r="AA38" s="8"/>
    </row>
    <row r="39" spans="1:27" ht="16.149999999999999" customHeight="1" x14ac:dyDescent="0.25">
      <c r="A39" s="2"/>
      <c r="B39" s="30"/>
      <c r="C39" s="2"/>
      <c r="D39" s="2"/>
      <c r="E39" s="2"/>
      <c r="F39" s="2"/>
      <c r="G39" s="37" t="s">
        <v>37</v>
      </c>
      <c r="H39" s="30"/>
      <c r="I39" s="30"/>
      <c r="J39" s="30"/>
      <c r="K39" s="43">
        <v>41330</v>
      </c>
      <c r="L39" s="39"/>
      <c r="M39" s="2"/>
      <c r="N39" s="39"/>
      <c r="O39" s="39"/>
      <c r="P39" s="47"/>
      <c r="Q39" s="48"/>
      <c r="R39" s="33"/>
      <c r="S39" s="6"/>
      <c r="T39" s="73"/>
      <c r="U39" s="6"/>
      <c r="V39" s="7"/>
      <c r="W39" s="8"/>
      <c r="X39" s="8"/>
      <c r="Y39" s="8"/>
      <c r="Z39" s="8"/>
      <c r="AA39" s="8"/>
    </row>
    <row r="40" spans="1:27" ht="19.149999999999999" customHeight="1" x14ac:dyDescent="0.25">
      <c r="A40" s="2"/>
      <c r="B40" s="30"/>
      <c r="C40" s="2"/>
      <c r="D40" s="2"/>
      <c r="E40" s="2"/>
      <c r="F40" s="2"/>
      <c r="G40" s="37" t="s">
        <v>38</v>
      </c>
      <c r="H40" s="30"/>
      <c r="I40" s="30"/>
      <c r="J40" s="30"/>
      <c r="K40" s="30"/>
      <c r="L40" s="39"/>
      <c r="M40" s="2"/>
      <c r="N40" s="39"/>
      <c r="O40" s="39"/>
      <c r="P40" s="47"/>
      <c r="Q40" s="48"/>
      <c r="R40" s="33"/>
      <c r="S40" s="6"/>
      <c r="T40" s="73"/>
      <c r="U40" s="6"/>
      <c r="V40" s="7"/>
      <c r="W40" s="8"/>
      <c r="X40" s="8"/>
      <c r="Y40" s="8"/>
      <c r="Z40" s="8"/>
      <c r="AA40" s="8"/>
    </row>
    <row r="41" spans="1:27" ht="19.149999999999999" customHeight="1" x14ac:dyDescent="0.25">
      <c r="A41" s="2"/>
      <c r="B41" s="30"/>
      <c r="C41" s="2"/>
      <c r="D41" s="2"/>
      <c r="E41" s="2"/>
      <c r="F41" s="2"/>
      <c r="G41" s="37" t="s">
        <v>39</v>
      </c>
      <c r="H41" s="30"/>
      <c r="I41" s="30"/>
      <c r="J41" s="30"/>
      <c r="K41" s="30"/>
      <c r="L41" s="39"/>
      <c r="M41" s="2"/>
      <c r="N41" s="39"/>
      <c r="O41" s="39"/>
      <c r="P41" s="47"/>
      <c r="Q41" s="48"/>
      <c r="R41" s="33"/>
      <c r="S41" s="6"/>
      <c r="T41" s="73"/>
      <c r="U41" s="6"/>
      <c r="V41" s="7"/>
      <c r="W41" s="8"/>
      <c r="X41" s="8"/>
      <c r="Y41" s="8"/>
      <c r="Z41" s="8"/>
      <c r="AA41" s="8"/>
    </row>
    <row r="42" spans="1:27" ht="19.149999999999999" customHeight="1" x14ac:dyDescent="0.25">
      <c r="A42" s="2"/>
      <c r="B42" s="30"/>
      <c r="C42" s="2"/>
      <c r="D42" s="2"/>
      <c r="E42" s="36" t="s">
        <v>29</v>
      </c>
      <c r="F42" s="2"/>
      <c r="G42" s="37" t="s">
        <v>80</v>
      </c>
      <c r="H42" s="30"/>
      <c r="I42" s="30"/>
      <c r="J42" s="49"/>
      <c r="K42" s="30"/>
      <c r="L42" s="39">
        <v>2000</v>
      </c>
      <c r="M42" s="36" t="s">
        <v>81</v>
      </c>
      <c r="N42" s="39">
        <v>35</v>
      </c>
      <c r="O42" s="39">
        <v>60</v>
      </c>
      <c r="P42" s="33">
        <f>N42*O42</f>
        <v>2100</v>
      </c>
      <c r="Q42" s="48">
        <v>2100</v>
      </c>
      <c r="R42" s="33">
        <v>2100</v>
      </c>
      <c r="S42" s="6">
        <f>P42-R42</f>
        <v>0</v>
      </c>
      <c r="T42" s="73"/>
      <c r="U42" s="6"/>
      <c r="V42" s="7"/>
      <c r="W42" s="8"/>
      <c r="X42" s="8"/>
      <c r="Y42" s="8"/>
      <c r="Z42" s="8"/>
      <c r="AA42" s="8"/>
    </row>
    <row r="43" spans="1:27" ht="19.149999999999999" customHeight="1" x14ac:dyDescent="0.25">
      <c r="A43" s="2"/>
      <c r="B43" s="30"/>
      <c r="C43" s="2"/>
      <c r="D43" s="2"/>
      <c r="E43" s="36" t="s">
        <v>82</v>
      </c>
      <c r="F43" s="2"/>
      <c r="G43" s="37" t="s">
        <v>83</v>
      </c>
      <c r="H43" s="30"/>
      <c r="I43" s="30"/>
      <c r="J43" s="49"/>
      <c r="K43" s="30"/>
      <c r="L43" s="39">
        <v>3675</v>
      </c>
      <c r="M43" s="36" t="s">
        <v>42</v>
      </c>
      <c r="N43" s="39">
        <v>50</v>
      </c>
      <c r="O43" s="39">
        <v>1000</v>
      </c>
      <c r="P43" s="33">
        <f>(L43/O43)*N43</f>
        <v>183.75</v>
      </c>
      <c r="Q43" s="48">
        <v>184</v>
      </c>
      <c r="R43" s="33">
        <v>184</v>
      </c>
      <c r="S43" s="6">
        <f>P43-R43</f>
        <v>-0.25</v>
      </c>
      <c r="T43" s="73"/>
      <c r="U43" s="6"/>
      <c r="V43" s="7"/>
      <c r="W43" s="8"/>
      <c r="X43" s="8"/>
      <c r="Y43" s="8"/>
      <c r="Z43" s="8"/>
      <c r="AA43" s="8"/>
    </row>
    <row r="44" spans="1:27" ht="19.149999999999999" customHeight="1" x14ac:dyDescent="0.25">
      <c r="A44" s="2"/>
      <c r="B44" s="30"/>
      <c r="C44" s="2"/>
      <c r="D44" s="2"/>
      <c r="E44" s="36" t="s">
        <v>84</v>
      </c>
      <c r="F44" s="2"/>
      <c r="G44" s="37" t="s">
        <v>85</v>
      </c>
      <c r="H44" s="30"/>
      <c r="I44" s="30"/>
      <c r="J44" s="49"/>
      <c r="K44" s="30"/>
      <c r="L44" s="39">
        <v>2995</v>
      </c>
      <c r="M44" s="36" t="s">
        <v>86</v>
      </c>
      <c r="N44" s="39">
        <v>200</v>
      </c>
      <c r="O44" s="39">
        <v>1</v>
      </c>
      <c r="P44" s="53">
        <f>N44*O44</f>
        <v>200</v>
      </c>
      <c r="Q44" s="52">
        <v>500</v>
      </c>
      <c r="R44" s="53">
        <v>200</v>
      </c>
      <c r="S44" s="14">
        <f>P44-R44</f>
        <v>0</v>
      </c>
      <c r="T44" s="73"/>
      <c r="U44" s="6"/>
      <c r="V44" s="7"/>
      <c r="W44" s="8"/>
      <c r="X44" s="8"/>
      <c r="Y44" s="8"/>
      <c r="Z44" s="8"/>
      <c r="AA44" s="8"/>
    </row>
    <row r="45" spans="1:27" ht="16.149999999999999" customHeight="1" x14ac:dyDescent="0.25">
      <c r="A45" s="2"/>
      <c r="B45" s="30"/>
      <c r="C45" s="2"/>
      <c r="D45" s="2"/>
      <c r="E45" s="36" t="s">
        <v>87</v>
      </c>
      <c r="F45" s="2"/>
      <c r="G45" s="37" t="s">
        <v>88</v>
      </c>
      <c r="H45" s="30"/>
      <c r="I45" s="30"/>
      <c r="J45" s="30"/>
      <c r="K45" s="30"/>
      <c r="L45" s="39">
        <v>150</v>
      </c>
      <c r="M45" s="2"/>
      <c r="N45" s="39"/>
      <c r="O45" s="39"/>
      <c r="P45" s="74"/>
      <c r="Q45" s="45"/>
      <c r="R45" s="44"/>
      <c r="S45" s="27"/>
      <c r="T45" s="73"/>
      <c r="U45" s="6"/>
      <c r="V45" s="7"/>
      <c r="W45" s="8"/>
      <c r="X45" s="8"/>
      <c r="Y45" s="8"/>
      <c r="Z45" s="8"/>
      <c r="AA45" s="8"/>
    </row>
    <row r="46" spans="1:27" ht="16.149999999999999" customHeight="1" x14ac:dyDescent="0.25">
      <c r="A46" s="2"/>
      <c r="B46" s="30"/>
      <c r="C46" s="2"/>
      <c r="D46" s="2"/>
      <c r="E46" s="2"/>
      <c r="F46" s="2"/>
      <c r="G46" s="69"/>
      <c r="H46" s="30"/>
      <c r="I46" s="7"/>
      <c r="J46" s="30"/>
      <c r="K46" s="30"/>
      <c r="L46" s="62">
        <f>SUM(L42:L45)</f>
        <v>8820</v>
      </c>
      <c r="M46" s="34" t="s">
        <v>89</v>
      </c>
      <c r="N46" s="39"/>
      <c r="O46" s="39"/>
      <c r="P46" s="40">
        <f>SUM(P42:P45)</f>
        <v>2483.75</v>
      </c>
      <c r="Q46" s="40">
        <f>SUM(Q42:Q45)</f>
        <v>2784</v>
      </c>
      <c r="R46" s="40">
        <f>SUM(R42:R45)</f>
        <v>2484</v>
      </c>
      <c r="S46" s="42">
        <f>SUM(S42:S45)</f>
        <v>-0.25</v>
      </c>
      <c r="T46" s="73"/>
      <c r="U46" s="6"/>
      <c r="V46" s="7"/>
      <c r="W46" s="8"/>
      <c r="X46" s="8"/>
      <c r="Y46" s="8"/>
      <c r="Z46" s="8"/>
      <c r="AA46" s="8"/>
    </row>
    <row r="47" spans="1:27" ht="16.149999999999999" customHeight="1" x14ac:dyDescent="0.25">
      <c r="A47" s="2"/>
      <c r="B47" s="30"/>
      <c r="C47" s="2"/>
      <c r="D47" s="2"/>
      <c r="E47" s="2"/>
      <c r="F47" s="2"/>
      <c r="G47" s="69"/>
      <c r="H47" s="30"/>
      <c r="I47" s="30"/>
      <c r="J47" s="30"/>
      <c r="K47" s="30"/>
      <c r="L47" s="58"/>
      <c r="M47" s="2"/>
      <c r="N47" s="39"/>
      <c r="O47" s="39"/>
      <c r="P47" s="74"/>
      <c r="Q47" s="45"/>
      <c r="R47" s="44"/>
      <c r="S47" s="27"/>
      <c r="T47" s="73"/>
      <c r="U47" s="6"/>
      <c r="V47" s="7"/>
      <c r="W47" s="8"/>
      <c r="X47" s="8"/>
      <c r="Y47" s="8"/>
      <c r="Z47" s="8"/>
      <c r="AA47" s="8"/>
    </row>
    <row r="48" spans="1:27" ht="16.149999999999999" customHeight="1" x14ac:dyDescent="0.25">
      <c r="A48" s="34" t="s">
        <v>90</v>
      </c>
      <c r="B48" s="35" t="s">
        <v>91</v>
      </c>
      <c r="C48" s="35" t="s">
        <v>59</v>
      </c>
      <c r="D48" s="2"/>
      <c r="E48" s="37" t="s">
        <v>92</v>
      </c>
      <c r="F48" s="2"/>
      <c r="G48" s="37" t="s">
        <v>93</v>
      </c>
      <c r="H48" s="35" t="s">
        <v>27</v>
      </c>
      <c r="I48" s="35">
        <v>2601752</v>
      </c>
      <c r="J48" s="30">
        <v>2701071</v>
      </c>
      <c r="K48" s="35">
        <v>71444236</v>
      </c>
      <c r="L48" s="39"/>
      <c r="M48" s="2"/>
      <c r="N48" s="39"/>
      <c r="O48" s="39"/>
      <c r="P48" s="47"/>
      <c r="Q48" s="48"/>
      <c r="R48" s="33"/>
      <c r="S48" s="6"/>
      <c r="T48" s="73"/>
      <c r="U48" s="6"/>
      <c r="V48" s="7"/>
      <c r="W48" s="8"/>
      <c r="X48" s="8"/>
      <c r="Y48" s="8"/>
      <c r="Z48" s="8"/>
      <c r="AA48" s="8"/>
    </row>
    <row r="49" spans="1:27" ht="16.149999999999999" customHeight="1" x14ac:dyDescent="0.25">
      <c r="A49" s="2"/>
      <c r="B49" s="30"/>
      <c r="C49" s="2"/>
      <c r="D49" s="2"/>
      <c r="E49" s="2"/>
      <c r="F49" s="2"/>
      <c r="G49" s="37" t="s">
        <v>37</v>
      </c>
      <c r="H49" s="30"/>
      <c r="I49" s="30"/>
      <c r="J49" s="30"/>
      <c r="K49" s="43">
        <v>41218</v>
      </c>
      <c r="L49" s="39"/>
      <c r="M49" s="2"/>
      <c r="N49" s="39"/>
      <c r="O49" s="39"/>
      <c r="P49" s="47"/>
      <c r="Q49" s="48"/>
      <c r="R49" s="33"/>
      <c r="S49" s="6"/>
      <c r="T49" s="73"/>
      <c r="U49" s="6"/>
      <c r="V49" s="7"/>
      <c r="W49" s="8"/>
      <c r="X49" s="8"/>
      <c r="Y49" s="8"/>
      <c r="Z49" s="8"/>
      <c r="AA49" s="8"/>
    </row>
    <row r="50" spans="1:27" ht="19.149999999999999" customHeight="1" x14ac:dyDescent="0.25">
      <c r="A50" s="2"/>
      <c r="B50" s="30"/>
      <c r="C50" s="2"/>
      <c r="D50" s="2"/>
      <c r="E50" s="2"/>
      <c r="F50" s="2"/>
      <c r="G50" s="37" t="s">
        <v>38</v>
      </c>
      <c r="H50" s="30"/>
      <c r="I50" s="30"/>
      <c r="J50" s="30"/>
      <c r="K50" s="30"/>
      <c r="L50" s="39"/>
      <c r="M50" s="2"/>
      <c r="N50" s="39"/>
      <c r="O50" s="39"/>
      <c r="P50" s="47"/>
      <c r="Q50" s="48"/>
      <c r="R50" s="33"/>
      <c r="S50" s="6"/>
      <c r="T50" s="73"/>
      <c r="U50" s="6"/>
      <c r="V50" s="7"/>
      <c r="W50" s="8"/>
      <c r="X50" s="8"/>
      <c r="Y50" s="8"/>
      <c r="Z50" s="8"/>
      <c r="AA50" s="8"/>
    </row>
    <row r="51" spans="1:27" ht="19.149999999999999" customHeight="1" x14ac:dyDescent="0.25">
      <c r="A51" s="2"/>
      <c r="B51" s="30"/>
      <c r="C51" s="2"/>
      <c r="D51" s="2"/>
      <c r="E51" s="2"/>
      <c r="F51" s="2"/>
      <c r="G51" s="37" t="s">
        <v>39</v>
      </c>
      <c r="H51" s="30"/>
      <c r="I51" s="30"/>
      <c r="J51" s="30"/>
      <c r="K51" s="30"/>
      <c r="L51" s="39"/>
      <c r="M51" s="2"/>
      <c r="N51" s="39"/>
      <c r="O51" s="39"/>
      <c r="P51" s="47"/>
      <c r="Q51" s="48"/>
      <c r="R51" s="33"/>
      <c r="S51" s="6"/>
      <c r="T51" s="73"/>
      <c r="U51" s="6"/>
      <c r="V51" s="7"/>
      <c r="W51" s="8"/>
      <c r="X51" s="8"/>
      <c r="Y51" s="8"/>
      <c r="Z51" s="8"/>
      <c r="AA51" s="8"/>
    </row>
    <row r="52" spans="1:27" ht="19.149999999999999" customHeight="1" x14ac:dyDescent="0.25">
      <c r="A52" s="2"/>
      <c r="B52" s="30"/>
      <c r="C52" s="2"/>
      <c r="D52" s="2"/>
      <c r="E52" s="36" t="s">
        <v>29</v>
      </c>
      <c r="F52" s="2"/>
      <c r="G52" s="37" t="s">
        <v>94</v>
      </c>
      <c r="H52" s="30"/>
      <c r="I52" s="30"/>
      <c r="J52" s="30"/>
      <c r="K52" s="30"/>
      <c r="L52" s="39">
        <v>3250</v>
      </c>
      <c r="M52" s="36" t="s">
        <v>95</v>
      </c>
      <c r="N52" s="39">
        <v>35</v>
      </c>
      <c r="O52" s="39">
        <f>100+20</f>
        <v>120</v>
      </c>
      <c r="P52" s="33">
        <f>N52*O52</f>
        <v>4200</v>
      </c>
      <c r="Q52" s="48">
        <v>3850</v>
      </c>
      <c r="R52" s="33">
        <v>4200</v>
      </c>
      <c r="S52" s="6">
        <f>P52-R52</f>
        <v>0</v>
      </c>
      <c r="T52" s="309" t="s">
        <v>483</v>
      </c>
      <c r="U52" s="6"/>
      <c r="V52" s="7"/>
      <c r="W52" s="8"/>
      <c r="X52" s="8"/>
      <c r="Y52" s="8"/>
      <c r="Z52" s="8"/>
      <c r="AA52" s="8"/>
    </row>
    <row r="53" spans="1:27" ht="19.149999999999999" customHeight="1" x14ac:dyDescent="0.25">
      <c r="A53" s="2"/>
      <c r="B53" s="30"/>
      <c r="C53" s="2"/>
      <c r="D53" s="2"/>
      <c r="E53" s="36" t="s">
        <v>96</v>
      </c>
      <c r="F53" s="2"/>
      <c r="G53" s="37" t="s">
        <v>51</v>
      </c>
      <c r="H53" s="30"/>
      <c r="I53" s="30"/>
      <c r="J53" s="30"/>
      <c r="K53" s="30"/>
      <c r="L53" s="39">
        <v>1160</v>
      </c>
      <c r="M53" s="36" t="s">
        <v>42</v>
      </c>
      <c r="N53" s="39">
        <v>50</v>
      </c>
      <c r="O53" s="39">
        <v>1000</v>
      </c>
      <c r="P53" s="53">
        <f>(L53/O53)*N53</f>
        <v>57.999999999999993</v>
      </c>
      <c r="Q53" s="52">
        <v>58</v>
      </c>
      <c r="R53" s="53">
        <v>58</v>
      </c>
      <c r="S53" s="14">
        <f>P53-R53</f>
        <v>0</v>
      </c>
      <c r="T53" s="73"/>
      <c r="U53" s="6"/>
      <c r="V53" s="7"/>
      <c r="W53" s="8"/>
      <c r="X53" s="8"/>
      <c r="Y53" s="8"/>
      <c r="Z53" s="8"/>
      <c r="AA53" s="8"/>
    </row>
    <row r="54" spans="1:27" ht="19.149999999999999" customHeight="1" x14ac:dyDescent="0.25">
      <c r="A54" s="2"/>
      <c r="B54" s="30"/>
      <c r="C54" s="2"/>
      <c r="D54" s="2"/>
      <c r="E54" s="36" t="s">
        <v>87</v>
      </c>
      <c r="F54" s="2"/>
      <c r="G54" s="37" t="s">
        <v>55</v>
      </c>
      <c r="H54" s="30"/>
      <c r="I54" s="30"/>
      <c r="J54" s="30"/>
      <c r="K54" s="30"/>
      <c r="L54" s="38">
        <v>150</v>
      </c>
      <c r="M54" s="50"/>
      <c r="N54" s="51"/>
      <c r="O54" s="51"/>
      <c r="P54" s="75"/>
      <c r="Q54" s="45"/>
      <c r="R54" s="44"/>
      <c r="S54" s="27"/>
      <c r="T54" s="73"/>
      <c r="U54" s="6"/>
      <c r="V54" s="7"/>
      <c r="W54" s="8"/>
      <c r="X54" s="8"/>
      <c r="Y54" s="8"/>
      <c r="Z54" s="8"/>
      <c r="AA54" s="8"/>
    </row>
    <row r="55" spans="1:27" ht="19.149999999999999" customHeight="1" x14ac:dyDescent="0.25">
      <c r="A55" s="2"/>
      <c r="B55" s="30"/>
      <c r="C55" s="2"/>
      <c r="D55" s="2"/>
      <c r="E55" s="55"/>
      <c r="F55" s="2"/>
      <c r="G55" s="6"/>
      <c r="H55" s="30"/>
      <c r="I55" s="7"/>
      <c r="J55" s="30"/>
      <c r="K55" s="30"/>
      <c r="L55" s="76">
        <f>SUM(L52:L54)</f>
        <v>4560</v>
      </c>
      <c r="M55" s="34" t="s">
        <v>97</v>
      </c>
      <c r="N55" s="51"/>
      <c r="O55" s="51"/>
      <c r="P55" s="40">
        <f>SUM(P52:P54)</f>
        <v>4258</v>
      </c>
      <c r="Q55" s="40">
        <f>SUM(Q52:Q54)</f>
        <v>3908</v>
      </c>
      <c r="R55" s="40">
        <f>SUM(R52:R54)</f>
        <v>4258</v>
      </c>
      <c r="S55" s="42">
        <f>SUM(S52:S54)</f>
        <v>0</v>
      </c>
      <c r="T55" s="73"/>
      <c r="U55" s="6"/>
      <c r="V55" s="7"/>
      <c r="W55" s="8"/>
      <c r="X55" s="8"/>
      <c r="Y55" s="8"/>
      <c r="Z55" s="8"/>
      <c r="AA55" s="8"/>
    </row>
    <row r="56" spans="1:27" ht="19.149999999999999" customHeight="1" x14ac:dyDescent="0.25">
      <c r="A56" s="2"/>
      <c r="B56" s="30"/>
      <c r="C56" s="63" t="s">
        <v>59</v>
      </c>
      <c r="D56" s="64"/>
      <c r="E56" s="64"/>
      <c r="F56" s="64"/>
      <c r="G56" s="65" t="s">
        <v>73</v>
      </c>
      <c r="H56" s="49"/>
      <c r="I56" s="30">
        <f>I48</f>
        <v>2601752</v>
      </c>
      <c r="J56" s="30"/>
      <c r="K56" s="30"/>
      <c r="L56" s="66"/>
      <c r="M56" s="67" t="s">
        <v>74</v>
      </c>
      <c r="N56" s="51"/>
      <c r="O56" s="51"/>
      <c r="P56" s="75"/>
      <c r="Q56" s="45"/>
      <c r="R56" s="68"/>
      <c r="S56" s="27"/>
      <c r="T56" s="72"/>
      <c r="U56" s="2"/>
      <c r="V56" s="2"/>
      <c r="W56" s="8"/>
      <c r="X56" s="8"/>
      <c r="Y56" s="8"/>
      <c r="Z56" s="8"/>
      <c r="AA56" s="8"/>
    </row>
    <row r="57" spans="1:27" ht="19.149999999999999" customHeight="1" x14ac:dyDescent="0.25">
      <c r="A57" s="2"/>
      <c r="B57" s="30"/>
      <c r="C57" s="69"/>
      <c r="D57" s="64"/>
      <c r="E57" s="64"/>
      <c r="F57" s="64"/>
      <c r="G57" s="65" t="s">
        <v>98</v>
      </c>
      <c r="H57" s="49"/>
      <c r="I57" s="30"/>
      <c r="J57" s="30"/>
      <c r="K57" s="30"/>
      <c r="L57" s="51"/>
      <c r="M57" s="50"/>
      <c r="N57" s="51"/>
      <c r="O57" s="51"/>
      <c r="P57" s="7"/>
      <c r="Q57" s="48"/>
      <c r="R57" s="71"/>
      <c r="S57" s="6"/>
      <c r="T57" s="72"/>
      <c r="U57" s="2"/>
      <c r="V57" s="2"/>
      <c r="W57" s="8"/>
      <c r="X57" s="8"/>
      <c r="Y57" s="8"/>
      <c r="Z57" s="8"/>
      <c r="AA57" s="8"/>
    </row>
    <row r="58" spans="1:27" ht="19.899999999999999" customHeight="1" x14ac:dyDescent="0.25">
      <c r="A58" s="2"/>
      <c r="B58" s="30"/>
      <c r="C58" s="2"/>
      <c r="D58" s="2"/>
      <c r="E58" s="2"/>
      <c r="F58" s="2"/>
      <c r="G58" s="2"/>
      <c r="H58" s="30"/>
      <c r="I58" s="30"/>
      <c r="J58" s="30"/>
      <c r="K58" s="30"/>
      <c r="L58" s="39"/>
      <c r="M58" s="2"/>
      <c r="N58" s="39"/>
      <c r="O58" s="39"/>
      <c r="P58" s="7"/>
      <c r="Q58" s="48"/>
      <c r="R58" s="33"/>
      <c r="S58" s="6"/>
      <c r="T58" s="73"/>
      <c r="U58" s="6"/>
      <c r="V58" s="7"/>
      <c r="W58" s="8"/>
      <c r="X58" s="8"/>
      <c r="Y58" s="8"/>
      <c r="Z58" s="8"/>
      <c r="AA58" s="8"/>
    </row>
    <row r="59" spans="1:27" ht="19.899999999999999" customHeight="1" x14ac:dyDescent="0.25">
      <c r="A59" s="2"/>
      <c r="B59" s="30"/>
      <c r="C59" s="2"/>
      <c r="D59" s="2"/>
      <c r="E59" s="2"/>
      <c r="F59" s="2"/>
      <c r="G59" s="2"/>
      <c r="H59" s="30"/>
      <c r="I59" s="30"/>
      <c r="J59" s="30"/>
      <c r="K59" s="30"/>
      <c r="L59" s="39"/>
      <c r="M59" s="2"/>
      <c r="N59" s="39"/>
      <c r="O59" s="39"/>
      <c r="P59" s="7"/>
      <c r="Q59" s="48"/>
      <c r="R59" s="71"/>
      <c r="S59" s="6"/>
      <c r="T59" s="72"/>
      <c r="U59" s="2"/>
      <c r="V59" s="2"/>
      <c r="W59" s="8"/>
      <c r="X59" s="8"/>
      <c r="Y59" s="8"/>
      <c r="Z59" s="8"/>
      <c r="AA59" s="8"/>
    </row>
    <row r="60" spans="1:27" ht="19.899999999999999" customHeight="1" x14ac:dyDescent="0.25">
      <c r="A60" s="34" t="s">
        <v>99</v>
      </c>
      <c r="B60" s="35" t="s">
        <v>100</v>
      </c>
      <c r="C60" s="35" t="s">
        <v>24</v>
      </c>
      <c r="D60" s="2"/>
      <c r="E60" s="37" t="s">
        <v>101</v>
      </c>
      <c r="F60" s="2"/>
      <c r="G60" s="37" t="s">
        <v>102</v>
      </c>
      <c r="H60" s="35" t="s">
        <v>27</v>
      </c>
      <c r="I60" s="35">
        <v>2601712</v>
      </c>
      <c r="J60" s="30">
        <v>2701075</v>
      </c>
      <c r="K60" s="35">
        <v>71849368</v>
      </c>
      <c r="L60" s="39"/>
      <c r="M60" s="2"/>
      <c r="N60" s="39"/>
      <c r="O60" s="39"/>
      <c r="P60" s="7"/>
      <c r="Q60" s="48"/>
      <c r="R60" s="33"/>
      <c r="S60" s="6"/>
      <c r="T60" s="73"/>
      <c r="U60" s="6"/>
      <c r="V60" s="7"/>
      <c r="W60" s="8"/>
      <c r="X60" s="8"/>
      <c r="Y60" s="8"/>
      <c r="Z60" s="8"/>
      <c r="AA60" s="8"/>
    </row>
    <row r="61" spans="1:27" ht="19.899999999999999" customHeight="1" x14ac:dyDescent="0.25">
      <c r="A61" s="2"/>
      <c r="B61" s="30"/>
      <c r="C61" s="2"/>
      <c r="D61" s="2"/>
      <c r="E61" s="2"/>
      <c r="F61" s="2"/>
      <c r="G61" s="37" t="s">
        <v>37</v>
      </c>
      <c r="H61" s="30"/>
      <c r="I61" s="30"/>
      <c r="J61" s="30"/>
      <c r="K61" s="43">
        <v>41330</v>
      </c>
      <c r="L61" s="39"/>
      <c r="M61" s="2"/>
      <c r="N61" s="39"/>
      <c r="O61" s="39"/>
      <c r="P61" s="7"/>
      <c r="Q61" s="48"/>
      <c r="R61" s="33"/>
      <c r="S61" s="6"/>
      <c r="T61" s="73"/>
      <c r="U61" s="6"/>
      <c r="V61" s="7"/>
      <c r="W61" s="8"/>
      <c r="X61" s="8"/>
      <c r="Y61" s="8"/>
      <c r="Z61" s="8"/>
      <c r="AA61" s="8"/>
    </row>
    <row r="62" spans="1:27" ht="19.899999999999999" customHeight="1" x14ac:dyDescent="0.25">
      <c r="A62" s="2"/>
      <c r="B62" s="30"/>
      <c r="C62" s="2"/>
      <c r="D62" s="2"/>
      <c r="E62" s="2"/>
      <c r="F62" s="2"/>
      <c r="G62" s="37" t="s">
        <v>38</v>
      </c>
      <c r="H62" s="30"/>
      <c r="I62" s="30"/>
      <c r="J62" s="30"/>
      <c r="K62" s="30"/>
      <c r="L62" s="39"/>
      <c r="M62" s="2"/>
      <c r="N62" s="39"/>
      <c r="O62" s="39"/>
      <c r="P62" s="7"/>
      <c r="Q62" s="48"/>
      <c r="R62" s="33"/>
      <c r="S62" s="6"/>
      <c r="T62" s="73"/>
      <c r="U62" s="6"/>
      <c r="V62" s="7"/>
      <c r="W62" s="8"/>
      <c r="X62" s="8"/>
      <c r="Y62" s="8"/>
      <c r="Z62" s="8"/>
      <c r="AA62" s="8"/>
    </row>
    <row r="63" spans="1:27" ht="19.899999999999999" customHeight="1" x14ac:dyDescent="0.25">
      <c r="A63" s="2"/>
      <c r="B63" s="30"/>
      <c r="C63" s="2"/>
      <c r="D63" s="2"/>
      <c r="E63" s="2"/>
      <c r="F63" s="2"/>
      <c r="G63" s="37" t="s">
        <v>39</v>
      </c>
      <c r="H63" s="30"/>
      <c r="I63" s="30"/>
      <c r="J63" s="30"/>
      <c r="K63" s="30"/>
      <c r="L63" s="39"/>
      <c r="M63" s="2"/>
      <c r="N63" s="39"/>
      <c r="O63" s="39"/>
      <c r="P63" s="7"/>
      <c r="Q63" s="48"/>
      <c r="R63" s="33"/>
      <c r="S63" s="6"/>
      <c r="T63" s="73"/>
      <c r="U63" s="6"/>
      <c r="V63" s="7"/>
      <c r="W63" s="8"/>
      <c r="X63" s="8"/>
      <c r="Y63" s="8"/>
      <c r="Z63" s="8"/>
      <c r="AA63" s="8"/>
    </row>
    <row r="64" spans="1:27" ht="19.899999999999999" customHeight="1" x14ac:dyDescent="0.25">
      <c r="A64" s="2"/>
      <c r="B64" s="30"/>
      <c r="C64" s="2"/>
      <c r="D64" s="2"/>
      <c r="E64" s="2"/>
      <c r="F64" s="2"/>
      <c r="G64" s="55"/>
      <c r="H64" s="30"/>
      <c r="I64" s="30"/>
      <c r="J64" s="30"/>
      <c r="K64" s="30"/>
      <c r="L64" s="77"/>
      <c r="M64" s="2"/>
      <c r="N64" s="39"/>
      <c r="O64" s="39"/>
      <c r="P64" s="47"/>
      <c r="Q64" s="48"/>
      <c r="R64" s="33"/>
      <c r="S64" s="6"/>
      <c r="T64" s="73"/>
      <c r="U64" s="6"/>
      <c r="V64" s="7"/>
      <c r="W64" s="8"/>
      <c r="X64" s="8"/>
      <c r="Y64" s="8"/>
      <c r="Z64" s="8"/>
      <c r="AA64" s="8"/>
    </row>
    <row r="65" spans="1:27" ht="15" customHeight="1" x14ac:dyDescent="0.25">
      <c r="A65" s="2"/>
      <c r="B65" s="30"/>
      <c r="C65" s="2"/>
      <c r="D65" s="2"/>
      <c r="E65" s="2"/>
      <c r="F65" s="2"/>
      <c r="G65" s="37" t="s">
        <v>103</v>
      </c>
      <c r="H65" s="30"/>
      <c r="I65" s="30"/>
      <c r="J65" s="30"/>
      <c r="K65" s="30"/>
      <c r="L65" s="39"/>
      <c r="M65" s="2"/>
      <c r="N65" s="39"/>
      <c r="O65" s="39"/>
      <c r="P65" s="47"/>
      <c r="Q65" s="48"/>
      <c r="R65" s="33"/>
      <c r="S65" s="6"/>
      <c r="T65" s="73"/>
      <c r="U65" s="6"/>
      <c r="V65" s="7"/>
      <c r="W65" s="8"/>
      <c r="X65" s="8"/>
      <c r="Y65" s="8"/>
      <c r="Z65" s="8"/>
      <c r="AA65" s="8"/>
    </row>
    <row r="66" spans="1:27" ht="15" customHeight="1" x14ac:dyDescent="0.25">
      <c r="A66" s="2"/>
      <c r="B66" s="30"/>
      <c r="C66" s="2"/>
      <c r="D66" s="2"/>
      <c r="E66" s="36" t="s">
        <v>104</v>
      </c>
      <c r="F66" s="2"/>
      <c r="G66" s="65" t="s">
        <v>105</v>
      </c>
      <c r="H66" s="49"/>
      <c r="I66" s="49"/>
      <c r="J66" s="49"/>
      <c r="K66" s="49"/>
      <c r="L66" s="51">
        <v>1866</v>
      </c>
      <c r="M66" s="67" t="s">
        <v>47</v>
      </c>
      <c r="N66" s="51">
        <v>100</v>
      </c>
      <c r="O66" s="51">
        <v>6</v>
      </c>
      <c r="P66" s="70">
        <f>N66*O66</f>
        <v>600</v>
      </c>
      <c r="Q66" s="78">
        <v>800</v>
      </c>
      <c r="R66" s="70">
        <v>600</v>
      </c>
      <c r="S66" s="69">
        <f t="shared" ref="S66:S71" si="1">P66-R66</f>
        <v>0</v>
      </c>
      <c r="T66" s="65" t="s">
        <v>106</v>
      </c>
      <c r="U66" s="6"/>
      <c r="V66" s="7"/>
      <c r="W66" s="8"/>
      <c r="X66" s="8"/>
      <c r="Y66" s="8"/>
      <c r="Z66" s="8"/>
      <c r="AA66" s="8"/>
    </row>
    <row r="67" spans="1:27" ht="15" customHeight="1" x14ac:dyDescent="0.25">
      <c r="A67" s="2"/>
      <c r="B67" s="30"/>
      <c r="C67" s="2"/>
      <c r="D67" s="2"/>
      <c r="E67" s="36" t="s">
        <v>107</v>
      </c>
      <c r="F67" s="2"/>
      <c r="G67" s="37" t="s">
        <v>108</v>
      </c>
      <c r="H67" s="30"/>
      <c r="I67" s="30"/>
      <c r="J67" s="30"/>
      <c r="K67" s="30"/>
      <c r="L67" s="39">
        <v>2065</v>
      </c>
      <c r="M67" s="36" t="s">
        <v>42</v>
      </c>
      <c r="N67" s="39">
        <v>50</v>
      </c>
      <c r="O67" s="39">
        <v>1000</v>
      </c>
      <c r="P67" s="33">
        <f>(L67/O67)*N67</f>
        <v>103.25</v>
      </c>
      <c r="Q67" s="48">
        <v>103</v>
      </c>
      <c r="R67" s="33">
        <v>103</v>
      </c>
      <c r="S67" s="6">
        <f t="shared" si="1"/>
        <v>0.25</v>
      </c>
      <c r="T67" s="73"/>
      <c r="U67" s="6"/>
      <c r="V67" s="7"/>
      <c r="W67" s="8"/>
      <c r="X67" s="8"/>
      <c r="Y67" s="8"/>
      <c r="Z67" s="8"/>
      <c r="AA67" s="8"/>
    </row>
    <row r="68" spans="1:27" ht="15" customHeight="1" x14ac:dyDescent="0.25">
      <c r="A68" s="2"/>
      <c r="B68" s="30"/>
      <c r="C68" s="2"/>
      <c r="D68" s="2"/>
      <c r="E68" s="36" t="s">
        <v>109</v>
      </c>
      <c r="F68" s="2"/>
      <c r="G68" s="37" t="s">
        <v>110</v>
      </c>
      <c r="H68" s="30"/>
      <c r="I68" s="30"/>
      <c r="J68" s="30"/>
      <c r="K68" s="30"/>
      <c r="L68" s="39">
        <v>4500</v>
      </c>
      <c r="M68" s="36" t="s">
        <v>42</v>
      </c>
      <c r="N68" s="39">
        <v>50</v>
      </c>
      <c r="O68" s="39">
        <v>1000</v>
      </c>
      <c r="P68" s="33">
        <f>(L68/O68)*N68</f>
        <v>225</v>
      </c>
      <c r="Q68" s="48">
        <v>272</v>
      </c>
      <c r="R68" s="33">
        <v>225</v>
      </c>
      <c r="S68" s="6">
        <f t="shared" si="1"/>
        <v>0</v>
      </c>
      <c r="T68" s="73"/>
      <c r="U68" s="6"/>
      <c r="V68" s="7"/>
      <c r="W68" s="8"/>
      <c r="X68" s="8"/>
      <c r="Y68" s="8"/>
      <c r="Z68" s="8"/>
      <c r="AA68" s="8"/>
    </row>
    <row r="69" spans="1:27" ht="15" customHeight="1" x14ac:dyDescent="0.25">
      <c r="A69" s="2"/>
      <c r="B69" s="30"/>
      <c r="C69" s="2"/>
      <c r="D69" s="2"/>
      <c r="E69" s="36" t="s">
        <v>111</v>
      </c>
      <c r="F69" s="2"/>
      <c r="G69" s="37" t="s">
        <v>112</v>
      </c>
      <c r="H69" s="30"/>
      <c r="I69" s="30"/>
      <c r="J69" s="30"/>
      <c r="K69" s="30"/>
      <c r="L69" s="39">
        <v>1858</v>
      </c>
      <c r="M69" s="36" t="s">
        <v>42</v>
      </c>
      <c r="N69" s="39">
        <v>50</v>
      </c>
      <c r="O69" s="39">
        <v>1000</v>
      </c>
      <c r="P69" s="33">
        <f>(L69/O69)*N69</f>
        <v>92.9</v>
      </c>
      <c r="Q69" s="48">
        <v>111</v>
      </c>
      <c r="R69" s="33">
        <v>93</v>
      </c>
      <c r="S69" s="6">
        <f t="shared" si="1"/>
        <v>-9.9999999999994316E-2</v>
      </c>
      <c r="T69" s="73"/>
      <c r="U69" s="6"/>
      <c r="V69" s="7"/>
      <c r="W69" s="8"/>
      <c r="X69" s="8"/>
      <c r="Y69" s="8"/>
      <c r="Z69" s="8"/>
      <c r="AA69" s="8"/>
    </row>
    <row r="70" spans="1:27" ht="15" customHeight="1" x14ac:dyDescent="0.25">
      <c r="A70" s="2"/>
      <c r="B70" s="30"/>
      <c r="C70" s="2"/>
      <c r="D70" s="2"/>
      <c r="E70" s="36" t="s">
        <v>113</v>
      </c>
      <c r="F70" s="2"/>
      <c r="G70" s="37" t="s">
        <v>51</v>
      </c>
      <c r="H70" s="30"/>
      <c r="I70" s="30"/>
      <c r="J70" s="30"/>
      <c r="K70" s="30"/>
      <c r="L70" s="39">
        <v>4000</v>
      </c>
      <c r="M70" s="36" t="s">
        <v>42</v>
      </c>
      <c r="N70" s="39">
        <v>50</v>
      </c>
      <c r="O70" s="39">
        <v>1000</v>
      </c>
      <c r="P70" s="33">
        <f>(L70/O70)*N70</f>
        <v>200</v>
      </c>
      <c r="Q70" s="48">
        <v>163</v>
      </c>
      <c r="R70" s="33">
        <v>200</v>
      </c>
      <c r="S70" s="6">
        <f t="shared" si="1"/>
        <v>0</v>
      </c>
      <c r="T70" s="73"/>
      <c r="U70" s="6"/>
      <c r="V70" s="7"/>
      <c r="W70" s="8"/>
      <c r="X70" s="8"/>
      <c r="Y70" s="8"/>
      <c r="Z70" s="8"/>
      <c r="AA70" s="8"/>
    </row>
    <row r="71" spans="1:27" ht="15" customHeight="1" x14ac:dyDescent="0.25">
      <c r="A71" s="2"/>
      <c r="B71" s="30"/>
      <c r="C71" s="2"/>
      <c r="D71" s="2"/>
      <c r="E71" s="36" t="s">
        <v>114</v>
      </c>
      <c r="F71" s="2"/>
      <c r="G71" s="37" t="s">
        <v>51</v>
      </c>
      <c r="H71" s="30"/>
      <c r="I71" s="30"/>
      <c r="J71" s="30"/>
      <c r="K71" s="30"/>
      <c r="L71" s="39">
        <v>2688</v>
      </c>
      <c r="M71" s="36" t="s">
        <v>42</v>
      </c>
      <c r="N71" s="39">
        <v>50</v>
      </c>
      <c r="O71" s="39">
        <v>1000</v>
      </c>
      <c r="P71" s="33">
        <f>(L71/O71)*N71</f>
        <v>134.4</v>
      </c>
      <c r="Q71" s="48">
        <v>117</v>
      </c>
      <c r="R71" s="33">
        <v>134</v>
      </c>
      <c r="S71" s="6">
        <f t="shared" si="1"/>
        <v>0.40000000000000568</v>
      </c>
      <c r="T71" s="73"/>
      <c r="U71" s="6"/>
      <c r="V71" s="7"/>
      <c r="W71" s="8"/>
      <c r="X71" s="8"/>
      <c r="Y71" s="8"/>
      <c r="Z71" s="8"/>
      <c r="AA71" s="8"/>
    </row>
    <row r="72" spans="1:27" ht="15" customHeight="1" x14ac:dyDescent="0.25">
      <c r="A72" s="2"/>
      <c r="B72" s="30"/>
      <c r="C72" s="2"/>
      <c r="D72" s="2"/>
      <c r="E72" s="2"/>
      <c r="F72" s="2"/>
      <c r="G72" s="37" t="s">
        <v>115</v>
      </c>
      <c r="H72" s="30"/>
      <c r="I72" s="30"/>
      <c r="J72" s="30"/>
      <c r="K72" s="30"/>
      <c r="L72" s="51"/>
      <c r="M72" s="8"/>
      <c r="N72" s="39"/>
      <c r="O72" s="39"/>
      <c r="P72" s="79"/>
      <c r="Q72" s="48"/>
      <c r="R72" s="33"/>
      <c r="S72" s="6"/>
      <c r="T72" s="73"/>
      <c r="U72" s="6"/>
      <c r="V72" s="7"/>
      <c r="W72" s="8"/>
      <c r="X72" s="8"/>
      <c r="Y72" s="8"/>
      <c r="Z72" s="8"/>
      <c r="AA72" s="8"/>
    </row>
    <row r="73" spans="1:27" ht="19.899999999999999" customHeight="1" x14ac:dyDescent="0.25">
      <c r="A73" s="2"/>
      <c r="B73" s="30"/>
      <c r="C73" s="2"/>
      <c r="D73" s="2"/>
      <c r="E73" s="2"/>
      <c r="F73" s="2"/>
      <c r="G73" s="37" t="s">
        <v>116</v>
      </c>
      <c r="H73" s="30"/>
      <c r="I73" s="30"/>
      <c r="J73" s="30"/>
      <c r="K73" s="30"/>
      <c r="L73" s="38">
        <v>796</v>
      </c>
      <c r="M73" s="55"/>
      <c r="N73" s="39"/>
      <c r="O73" s="39"/>
      <c r="P73" s="53"/>
      <c r="Q73" s="52"/>
      <c r="R73" s="53"/>
      <c r="S73" s="14"/>
      <c r="T73" s="80"/>
      <c r="U73" s="6"/>
      <c r="V73" s="7"/>
      <c r="W73" s="8"/>
      <c r="X73" s="8"/>
      <c r="Y73" s="8"/>
      <c r="Z73" s="8"/>
      <c r="AA73" s="8"/>
    </row>
    <row r="74" spans="1:27" ht="19.899999999999999" customHeight="1" x14ac:dyDescent="0.25">
      <c r="A74" s="2"/>
      <c r="B74" s="30"/>
      <c r="C74" s="2"/>
      <c r="D74" s="2"/>
      <c r="E74" s="2"/>
      <c r="F74" s="2"/>
      <c r="G74" s="37" t="s">
        <v>117</v>
      </c>
      <c r="H74" s="30"/>
      <c r="I74" s="30"/>
      <c r="J74" s="30"/>
      <c r="K74" s="30"/>
      <c r="L74" s="81">
        <f>SUM(L66:L73)</f>
        <v>17773</v>
      </c>
      <c r="M74" s="34" t="s">
        <v>118</v>
      </c>
      <c r="N74" s="39"/>
      <c r="O74" s="39"/>
      <c r="P74" s="82">
        <f>SUM(P66:P73)</f>
        <v>1355.5500000000002</v>
      </c>
      <c r="Q74" s="82">
        <f>SUM(Q66:Q73)</f>
        <v>1566</v>
      </c>
      <c r="R74" s="82">
        <f>SUM(R66:R73)</f>
        <v>1355</v>
      </c>
      <c r="S74" s="82">
        <f>SUM(S66:S73)</f>
        <v>0.55000000000001137</v>
      </c>
      <c r="T74" s="316" t="s">
        <v>485</v>
      </c>
      <c r="U74" s="6"/>
      <c r="V74" s="7"/>
      <c r="W74" s="8"/>
      <c r="X74" s="8"/>
      <c r="Y74" s="8"/>
      <c r="Z74" s="8"/>
      <c r="AA74" s="8"/>
    </row>
    <row r="75" spans="1:27" ht="19.899999999999999" customHeight="1" x14ac:dyDescent="0.25">
      <c r="A75" s="2"/>
      <c r="B75" s="30"/>
      <c r="C75" s="2"/>
      <c r="D75" s="2"/>
      <c r="E75" s="2"/>
      <c r="F75" s="2"/>
      <c r="G75" s="6"/>
      <c r="H75" s="30"/>
      <c r="I75" s="30"/>
      <c r="J75" s="30"/>
      <c r="K75" s="30"/>
      <c r="L75" s="58"/>
      <c r="M75" s="55"/>
      <c r="N75" s="39"/>
      <c r="O75" s="39"/>
      <c r="P75" s="75"/>
      <c r="Q75" s="45"/>
      <c r="R75" s="44"/>
      <c r="S75" s="27"/>
      <c r="T75" s="73"/>
      <c r="U75" s="6"/>
      <c r="V75" s="7"/>
      <c r="W75" s="8"/>
      <c r="X75" s="8"/>
      <c r="Y75" s="8"/>
      <c r="Z75" s="8"/>
      <c r="AA75" s="8"/>
    </row>
    <row r="76" spans="1:27" ht="19.149999999999999" customHeight="1" x14ac:dyDescent="0.25">
      <c r="A76" s="2"/>
      <c r="B76" s="35" t="s">
        <v>100</v>
      </c>
      <c r="C76" s="35" t="s">
        <v>24</v>
      </c>
      <c r="D76" s="2"/>
      <c r="E76" s="37" t="s">
        <v>101</v>
      </c>
      <c r="F76" s="2"/>
      <c r="G76" s="83" t="s">
        <v>119</v>
      </c>
      <c r="H76" s="30"/>
      <c r="I76" s="30"/>
      <c r="J76" s="30"/>
      <c r="K76" s="30"/>
      <c r="L76" s="39"/>
      <c r="M76" s="36" t="s">
        <v>120</v>
      </c>
      <c r="N76" s="39"/>
      <c r="O76" s="39"/>
      <c r="P76" s="33"/>
      <c r="Q76" s="48"/>
      <c r="R76" s="33"/>
      <c r="S76" s="6"/>
      <c r="T76" s="73"/>
      <c r="U76" s="6"/>
      <c r="V76" s="7"/>
      <c r="W76" s="8"/>
      <c r="X76" s="8"/>
      <c r="Y76" s="8"/>
      <c r="Z76" s="8"/>
      <c r="AA76" s="8"/>
    </row>
    <row r="77" spans="1:27" ht="19.149999999999999" customHeight="1" x14ac:dyDescent="0.25">
      <c r="A77" s="2"/>
      <c r="B77" s="30"/>
      <c r="C77" s="2"/>
      <c r="D77" s="2"/>
      <c r="E77" s="2"/>
      <c r="F77" s="2"/>
      <c r="G77" s="37" t="s">
        <v>121</v>
      </c>
      <c r="H77" s="30"/>
      <c r="I77" s="30"/>
      <c r="J77" s="49"/>
      <c r="K77" s="30"/>
      <c r="L77" s="39">
        <v>13200</v>
      </c>
      <c r="M77" s="36" t="s">
        <v>122</v>
      </c>
      <c r="N77" s="48"/>
      <c r="O77" s="48"/>
      <c r="P77" s="33"/>
      <c r="Q77" s="48"/>
      <c r="R77" s="33"/>
      <c r="S77" s="6"/>
      <c r="T77" s="84"/>
      <c r="U77" s="6"/>
      <c r="V77" s="7"/>
      <c r="W77" s="8"/>
      <c r="X77" s="8"/>
      <c r="Y77" s="8"/>
      <c r="Z77" s="8"/>
      <c r="AA77" s="8"/>
    </row>
    <row r="78" spans="1:27" ht="19.149999999999999" customHeight="1" x14ac:dyDescent="0.25">
      <c r="A78" s="2"/>
      <c r="B78" s="30"/>
      <c r="C78" s="2"/>
      <c r="D78" s="2"/>
      <c r="E78" s="2"/>
      <c r="F78" s="2"/>
      <c r="G78" s="37" t="s">
        <v>123</v>
      </c>
      <c r="H78" s="30"/>
      <c r="I78" s="46"/>
      <c r="J78" s="49"/>
      <c r="K78" s="30"/>
      <c r="L78" s="39">
        <v>3442</v>
      </c>
      <c r="M78" s="34" t="s">
        <v>124</v>
      </c>
      <c r="N78" s="39">
        <v>110</v>
      </c>
      <c r="O78" s="39">
        <v>12</v>
      </c>
      <c r="P78" s="53">
        <f>N78*O78</f>
        <v>1320</v>
      </c>
      <c r="Q78" s="52">
        <v>1320</v>
      </c>
      <c r="R78" s="53">
        <v>1320</v>
      </c>
      <c r="S78" s="14">
        <f>P78-R78</f>
        <v>0</v>
      </c>
      <c r="T78" s="80"/>
      <c r="U78" s="6"/>
      <c r="V78" s="7"/>
      <c r="W78" s="8"/>
      <c r="X78" s="8"/>
      <c r="Y78" s="8"/>
      <c r="Z78" s="8"/>
      <c r="AA78" s="8"/>
    </row>
    <row r="79" spans="1:27" ht="16.899999999999999" customHeight="1" x14ac:dyDescent="0.25">
      <c r="A79" s="2"/>
      <c r="B79" s="30"/>
      <c r="C79" s="2"/>
      <c r="D79" s="2"/>
      <c r="E79" s="2"/>
      <c r="F79" s="2"/>
      <c r="G79" s="37" t="s">
        <v>125</v>
      </c>
      <c r="H79" s="30"/>
      <c r="I79" s="39"/>
      <c r="J79" s="49"/>
      <c r="K79" s="30"/>
      <c r="L79" s="85"/>
      <c r="M79" s="8"/>
      <c r="N79" s="51"/>
      <c r="O79" s="51"/>
      <c r="P79" s="74"/>
      <c r="Q79" s="45"/>
      <c r="R79" s="44"/>
      <c r="S79" s="27"/>
      <c r="T79" s="73"/>
      <c r="U79" s="6"/>
      <c r="V79" s="7"/>
      <c r="W79" s="8"/>
      <c r="X79" s="8"/>
      <c r="Y79" s="8"/>
      <c r="Z79" s="8"/>
      <c r="AA79" s="8"/>
    </row>
    <row r="80" spans="1:27" ht="16.899999999999999" customHeight="1" x14ac:dyDescent="0.25">
      <c r="A80" s="2"/>
      <c r="B80" s="30"/>
      <c r="C80" s="2"/>
      <c r="D80" s="2"/>
      <c r="E80" s="2"/>
      <c r="F80" s="2"/>
      <c r="G80" s="6"/>
      <c r="H80" s="30"/>
      <c r="I80" s="30"/>
      <c r="J80" s="49"/>
      <c r="K80" s="30"/>
      <c r="L80" s="81">
        <f>L78+L77+L74</f>
        <v>34415</v>
      </c>
      <c r="M80" s="36" t="s">
        <v>126</v>
      </c>
      <c r="N80" s="51"/>
      <c r="O80" s="51"/>
      <c r="P80" s="40">
        <f>P78+P74</f>
        <v>2675.55</v>
      </c>
      <c r="Q80" s="40">
        <f>Q78+Q74</f>
        <v>2886</v>
      </c>
      <c r="R80" s="40">
        <f>R78+R74</f>
        <v>2675</v>
      </c>
      <c r="S80" s="40">
        <f>S78+S74</f>
        <v>0.55000000000001137</v>
      </c>
      <c r="T80" s="80"/>
      <c r="U80" s="6"/>
      <c r="V80" s="7"/>
      <c r="W80" s="8"/>
      <c r="X80" s="8"/>
      <c r="Y80" s="8"/>
      <c r="Z80" s="8"/>
      <c r="AA80" s="8"/>
    </row>
    <row r="81" spans="1:27" ht="16.899999999999999" customHeight="1" x14ac:dyDescent="0.25">
      <c r="A81" s="2"/>
      <c r="B81" s="30"/>
      <c r="C81" s="2"/>
      <c r="D81" s="2"/>
      <c r="E81" s="2"/>
      <c r="F81" s="2"/>
      <c r="G81" s="69"/>
      <c r="H81" s="30"/>
      <c r="I81" s="30"/>
      <c r="J81" s="49"/>
      <c r="K81" s="30"/>
      <c r="L81" s="66"/>
      <c r="M81" s="36" t="s">
        <v>127</v>
      </c>
      <c r="N81" s="51"/>
      <c r="O81" s="51"/>
      <c r="P81" s="74"/>
      <c r="Q81" s="45"/>
      <c r="R81" s="44"/>
      <c r="S81" s="27"/>
      <c r="T81" s="73"/>
      <c r="U81" s="6"/>
      <c r="V81" s="7"/>
      <c r="W81" s="8"/>
      <c r="X81" s="8"/>
      <c r="Y81" s="8"/>
      <c r="Z81" s="8"/>
      <c r="AA81" s="8"/>
    </row>
    <row r="82" spans="1:27" ht="16.899999999999999" customHeight="1" x14ac:dyDescent="0.25">
      <c r="A82" s="2"/>
      <c r="B82" s="30"/>
      <c r="C82" s="2"/>
      <c r="D82" s="2"/>
      <c r="E82" s="2"/>
      <c r="F82" s="2"/>
      <c r="G82" s="69"/>
      <c r="H82" s="30"/>
      <c r="I82" s="30"/>
      <c r="J82" s="49"/>
      <c r="K82" s="30"/>
      <c r="L82" s="51"/>
      <c r="M82" s="46"/>
      <c r="N82" s="51"/>
      <c r="O82" s="51"/>
      <c r="P82" s="47"/>
      <c r="Q82" s="48"/>
      <c r="R82" s="33"/>
      <c r="S82" s="6"/>
      <c r="T82" s="73"/>
      <c r="U82" s="6"/>
      <c r="V82" s="7"/>
      <c r="W82" s="8"/>
      <c r="X82" s="8"/>
      <c r="Y82" s="8"/>
      <c r="Z82" s="8"/>
      <c r="AA82" s="8"/>
    </row>
    <row r="83" spans="1:27" ht="19.149999999999999" customHeight="1" x14ac:dyDescent="0.25">
      <c r="A83" s="34" t="s">
        <v>128</v>
      </c>
      <c r="B83" s="35" t="s">
        <v>129</v>
      </c>
      <c r="C83" s="35" t="s">
        <v>24</v>
      </c>
      <c r="D83" s="2"/>
      <c r="E83" s="37" t="s">
        <v>130</v>
      </c>
      <c r="F83" s="2"/>
      <c r="G83" s="37" t="s">
        <v>131</v>
      </c>
      <c r="H83" s="35" t="s">
        <v>27</v>
      </c>
      <c r="I83" s="35">
        <v>2601865</v>
      </c>
      <c r="J83" s="30">
        <v>2701076</v>
      </c>
      <c r="K83" s="35">
        <v>71974129</v>
      </c>
      <c r="L83" s="38">
        <v>3900</v>
      </c>
      <c r="M83" s="36" t="s">
        <v>95</v>
      </c>
      <c r="N83" s="39">
        <v>35</v>
      </c>
      <c r="O83" s="39">
        <f>88+22</f>
        <v>110</v>
      </c>
      <c r="P83" s="86">
        <f>N83*O83</f>
        <v>3850</v>
      </c>
      <c r="Q83" s="87">
        <v>3850</v>
      </c>
      <c r="R83" s="86">
        <v>3850</v>
      </c>
      <c r="S83" s="88">
        <f>P83-R83</f>
        <v>0</v>
      </c>
      <c r="T83" s="73"/>
      <c r="U83" s="6"/>
      <c r="V83" s="7"/>
      <c r="W83" s="8"/>
      <c r="X83" s="8"/>
      <c r="Y83" s="8"/>
      <c r="Z83" s="8"/>
      <c r="AA83" s="8"/>
    </row>
    <row r="84" spans="1:27" ht="19.149999999999999" customHeight="1" x14ac:dyDescent="0.25">
      <c r="A84" s="2"/>
      <c r="B84" s="30"/>
      <c r="C84" s="2"/>
      <c r="D84" s="2"/>
      <c r="E84" s="36" t="s">
        <v>29</v>
      </c>
      <c r="F84" s="2"/>
      <c r="G84" s="37" t="s">
        <v>132</v>
      </c>
      <c r="H84" s="30"/>
      <c r="I84" s="30"/>
      <c r="J84" s="30"/>
      <c r="K84" s="43">
        <v>41330</v>
      </c>
      <c r="L84" s="58"/>
      <c r="M84" s="46"/>
      <c r="N84" s="39"/>
      <c r="O84" s="39"/>
      <c r="P84" s="79"/>
      <c r="Q84" s="48"/>
      <c r="R84" s="33"/>
      <c r="S84" s="6"/>
      <c r="T84" s="73"/>
      <c r="U84" s="6"/>
      <c r="V84" s="7"/>
      <c r="W84" s="8"/>
      <c r="X84" s="8"/>
      <c r="Y84" s="8"/>
      <c r="Z84" s="8"/>
      <c r="AA84" s="8"/>
    </row>
    <row r="85" spans="1:27" ht="19.149999999999999" customHeight="1" x14ac:dyDescent="0.25">
      <c r="A85" s="2"/>
      <c r="B85" s="30"/>
      <c r="C85" s="2"/>
      <c r="D85" s="2"/>
      <c r="E85" s="46"/>
      <c r="F85" s="2"/>
      <c r="G85" s="37" t="s">
        <v>133</v>
      </c>
      <c r="H85" s="30"/>
      <c r="I85" s="7"/>
      <c r="J85" s="30"/>
      <c r="K85" s="30"/>
      <c r="L85" s="39"/>
      <c r="M85" s="55"/>
      <c r="N85" s="39"/>
      <c r="O85" s="39"/>
      <c r="P85" s="47"/>
      <c r="Q85" s="48"/>
      <c r="R85" s="33"/>
      <c r="S85" s="6"/>
      <c r="T85" s="73"/>
      <c r="U85" s="6"/>
      <c r="V85" s="7"/>
      <c r="W85" s="8"/>
      <c r="X85" s="8"/>
      <c r="Y85" s="8"/>
      <c r="Z85" s="8"/>
      <c r="AA85" s="8"/>
    </row>
    <row r="86" spans="1:27" ht="19.149999999999999" customHeight="1" x14ac:dyDescent="0.25">
      <c r="A86" s="2"/>
      <c r="B86" s="30"/>
      <c r="C86" s="2"/>
      <c r="D86" s="2"/>
      <c r="E86" s="36" t="s">
        <v>96</v>
      </c>
      <c r="F86" s="2"/>
      <c r="G86" s="37" t="s">
        <v>55</v>
      </c>
      <c r="H86" s="30"/>
      <c r="I86" s="30"/>
      <c r="J86" s="30"/>
      <c r="K86" s="30"/>
      <c r="L86" s="39">
        <v>213</v>
      </c>
      <c r="M86" s="2"/>
      <c r="N86" s="39"/>
      <c r="O86" s="39"/>
      <c r="P86" s="47"/>
      <c r="Q86" s="48"/>
      <c r="R86" s="33"/>
      <c r="S86" s="6"/>
      <c r="T86" s="80"/>
      <c r="U86" s="6"/>
      <c r="V86" s="7"/>
      <c r="W86" s="8"/>
      <c r="X86" s="8"/>
      <c r="Y86" s="8"/>
      <c r="Z86" s="8"/>
      <c r="AA86" s="8"/>
    </row>
    <row r="87" spans="1:27" ht="19.149999999999999" customHeight="1" x14ac:dyDescent="0.25">
      <c r="A87" s="2"/>
      <c r="B87" s="30"/>
      <c r="C87" s="2"/>
      <c r="D87" s="2"/>
      <c r="E87" s="2"/>
      <c r="F87" s="2"/>
      <c r="G87" s="2"/>
      <c r="H87" s="30"/>
      <c r="I87" s="30"/>
      <c r="J87" s="30"/>
      <c r="K87" s="30"/>
      <c r="L87" s="39"/>
      <c r="M87" s="2"/>
      <c r="N87" s="39"/>
      <c r="O87" s="39"/>
      <c r="P87" s="47"/>
      <c r="Q87" s="48"/>
      <c r="R87" s="33"/>
      <c r="S87" s="6"/>
      <c r="T87" s="73"/>
      <c r="U87" s="6"/>
      <c r="V87" s="7"/>
      <c r="W87" s="8"/>
      <c r="X87" s="8"/>
      <c r="Y87" s="8"/>
      <c r="Z87" s="8"/>
      <c r="AA87" s="8"/>
    </row>
    <row r="88" spans="1:27" ht="19.149999999999999" customHeight="1" x14ac:dyDescent="0.25">
      <c r="A88" s="2"/>
      <c r="B88" s="30"/>
      <c r="C88" s="2"/>
      <c r="D88" s="2"/>
      <c r="E88" s="2"/>
      <c r="F88" s="2"/>
      <c r="G88" s="2"/>
      <c r="H88" s="30"/>
      <c r="I88" s="30"/>
      <c r="J88" s="30"/>
      <c r="K88" s="30"/>
      <c r="L88" s="39"/>
      <c r="M88" s="2"/>
      <c r="N88" s="39"/>
      <c r="O88" s="39"/>
      <c r="P88" s="47"/>
      <c r="Q88" s="48"/>
      <c r="R88" s="33"/>
      <c r="S88" s="6"/>
      <c r="T88" s="73"/>
      <c r="U88" s="6"/>
      <c r="V88" s="7"/>
      <c r="W88" s="8"/>
      <c r="X88" s="8"/>
      <c r="Y88" s="8"/>
      <c r="Z88" s="8"/>
      <c r="AA88" s="8"/>
    </row>
    <row r="89" spans="1:27" ht="16.149999999999999" customHeight="1" x14ac:dyDescent="0.25">
      <c r="A89" s="34" t="s">
        <v>134</v>
      </c>
      <c r="B89" s="35" t="s">
        <v>135</v>
      </c>
      <c r="C89" s="35" t="s">
        <v>59</v>
      </c>
      <c r="D89" s="2"/>
      <c r="E89" s="37" t="s">
        <v>136</v>
      </c>
      <c r="F89" s="2"/>
      <c r="G89" s="37" t="s">
        <v>137</v>
      </c>
      <c r="H89" s="35" t="s">
        <v>27</v>
      </c>
      <c r="I89" s="35">
        <v>2601704</v>
      </c>
      <c r="J89" s="30">
        <v>2701077</v>
      </c>
      <c r="K89" s="35">
        <v>72047113</v>
      </c>
      <c r="L89" s="39"/>
      <c r="M89" s="2"/>
      <c r="N89" s="39"/>
      <c r="O89" s="39"/>
      <c r="P89" s="47"/>
      <c r="Q89" s="48"/>
      <c r="R89" s="33"/>
      <c r="S89" s="6"/>
      <c r="T89" s="73"/>
      <c r="U89" s="6"/>
      <c r="V89" s="7"/>
      <c r="W89" s="8"/>
      <c r="X89" s="8"/>
      <c r="Y89" s="8"/>
      <c r="Z89" s="8"/>
      <c r="AA89" s="8"/>
    </row>
    <row r="90" spans="1:27" ht="16.149999999999999" customHeight="1" x14ac:dyDescent="0.25">
      <c r="A90" s="2"/>
      <c r="B90" s="30"/>
      <c r="C90" s="2"/>
      <c r="D90" s="2"/>
      <c r="E90" s="2"/>
      <c r="F90" s="2"/>
      <c r="G90" s="37" t="s">
        <v>37</v>
      </c>
      <c r="H90" s="30"/>
      <c r="I90" s="30"/>
      <c r="J90" s="30"/>
      <c r="K90" s="43">
        <v>41330</v>
      </c>
      <c r="L90" s="39"/>
      <c r="M90" s="2"/>
      <c r="N90" s="39"/>
      <c r="O90" s="39"/>
      <c r="P90" s="47"/>
      <c r="Q90" s="48"/>
      <c r="R90" s="33"/>
      <c r="S90" s="6"/>
      <c r="T90" s="73"/>
      <c r="U90" s="6"/>
      <c r="V90" s="7"/>
      <c r="W90" s="8"/>
      <c r="X90" s="8"/>
      <c r="Y90" s="8"/>
      <c r="Z90" s="8"/>
      <c r="AA90" s="8"/>
    </row>
    <row r="91" spans="1:27" ht="19.149999999999999" customHeight="1" x14ac:dyDescent="0.25">
      <c r="A91" s="2"/>
      <c r="B91" s="30"/>
      <c r="C91" s="2"/>
      <c r="D91" s="2"/>
      <c r="E91" s="2"/>
      <c r="F91" s="2"/>
      <c r="G91" s="37" t="s">
        <v>38</v>
      </c>
      <c r="H91" s="30"/>
      <c r="I91" s="30"/>
      <c r="J91" s="30"/>
      <c r="K91" s="30"/>
      <c r="L91" s="39"/>
      <c r="M91" s="2"/>
      <c r="N91" s="39"/>
      <c r="O91" s="39"/>
      <c r="P91" s="47"/>
      <c r="Q91" s="48"/>
      <c r="R91" s="33"/>
      <c r="S91" s="6"/>
      <c r="T91" s="73"/>
      <c r="U91" s="6"/>
      <c r="V91" s="7"/>
      <c r="W91" s="8"/>
      <c r="X91" s="8"/>
      <c r="Y91" s="8"/>
      <c r="Z91" s="8"/>
      <c r="AA91" s="8"/>
    </row>
    <row r="92" spans="1:27" ht="19.149999999999999" customHeight="1" x14ac:dyDescent="0.25">
      <c r="A92" s="2"/>
      <c r="B92" s="30"/>
      <c r="C92" s="2"/>
      <c r="D92" s="2"/>
      <c r="E92" s="2"/>
      <c r="F92" s="2"/>
      <c r="G92" s="37" t="s">
        <v>39</v>
      </c>
      <c r="H92" s="30"/>
      <c r="I92" s="30"/>
      <c r="J92" s="30"/>
      <c r="K92" s="30"/>
      <c r="L92" s="39"/>
      <c r="M92" s="2"/>
      <c r="N92" s="39"/>
      <c r="O92" s="39"/>
      <c r="P92" s="47"/>
      <c r="Q92" s="48"/>
      <c r="R92" s="33"/>
      <c r="S92" s="6"/>
      <c r="T92" s="73"/>
      <c r="U92" s="6"/>
      <c r="V92" s="7"/>
      <c r="W92" s="8"/>
      <c r="X92" s="8"/>
      <c r="Y92" s="8"/>
      <c r="Z92" s="8"/>
      <c r="AA92" s="8"/>
    </row>
    <row r="93" spans="1:27" ht="19.149999999999999" customHeight="1" x14ac:dyDescent="0.25">
      <c r="A93" s="2"/>
      <c r="B93" s="30"/>
      <c r="C93" s="2"/>
      <c r="D93" s="2"/>
      <c r="E93" s="2"/>
      <c r="F93" s="2"/>
      <c r="G93" s="37" t="s">
        <v>138</v>
      </c>
      <c r="H93" s="30"/>
      <c r="I93" s="30"/>
      <c r="J93" s="30"/>
      <c r="K93" s="30"/>
      <c r="L93" s="39">
        <v>2400</v>
      </c>
      <c r="M93" s="36" t="s">
        <v>42</v>
      </c>
      <c r="N93" s="39">
        <v>50</v>
      </c>
      <c r="O93" s="39">
        <v>1000</v>
      </c>
      <c r="P93" s="33">
        <f>(L93/O93)*N93</f>
        <v>120</v>
      </c>
      <c r="Q93" s="48">
        <v>120</v>
      </c>
      <c r="R93" s="33">
        <v>120</v>
      </c>
      <c r="S93" s="6">
        <f>P93-R93</f>
        <v>0</v>
      </c>
      <c r="T93" s="73"/>
      <c r="U93" s="6"/>
      <c r="V93" s="7"/>
      <c r="W93" s="8"/>
      <c r="X93" s="8"/>
      <c r="Y93" s="8"/>
      <c r="Z93" s="8"/>
      <c r="AA93" s="8"/>
    </row>
    <row r="94" spans="1:27" ht="19.149999999999999" customHeight="1" x14ac:dyDescent="0.25">
      <c r="A94" s="2"/>
      <c r="B94" s="30"/>
      <c r="C94" s="2"/>
      <c r="D94" s="2"/>
      <c r="E94" s="2"/>
      <c r="F94" s="2"/>
      <c r="G94" s="37" t="s">
        <v>139</v>
      </c>
      <c r="H94" s="30"/>
      <c r="I94" s="30"/>
      <c r="J94" s="30"/>
      <c r="K94" s="30"/>
      <c r="L94" s="39">
        <v>6000</v>
      </c>
      <c r="M94" s="36" t="s">
        <v>95</v>
      </c>
      <c r="N94" s="39">
        <v>35</v>
      </c>
      <c r="O94" s="39">
        <f>182+18</f>
        <v>200</v>
      </c>
      <c r="P94" s="33">
        <f>N94*O94</f>
        <v>7000</v>
      </c>
      <c r="Q94" s="48">
        <v>5250</v>
      </c>
      <c r="R94" s="33">
        <v>7000</v>
      </c>
      <c r="S94" s="6">
        <f>P94-R94</f>
        <v>0</v>
      </c>
      <c r="T94" s="73"/>
      <c r="U94" s="6"/>
      <c r="V94" s="7"/>
      <c r="W94" s="8"/>
      <c r="X94" s="8"/>
      <c r="Y94" s="8"/>
      <c r="Z94" s="8"/>
      <c r="AA94" s="8"/>
    </row>
    <row r="95" spans="1:27" ht="19.149999999999999" customHeight="1" x14ac:dyDescent="0.25">
      <c r="A95" s="2"/>
      <c r="B95" s="30"/>
      <c r="C95" s="2"/>
      <c r="D95" s="2"/>
      <c r="E95" s="2"/>
      <c r="F95" s="2"/>
      <c r="G95" s="37" t="s">
        <v>88</v>
      </c>
      <c r="H95" s="30"/>
      <c r="I95" s="30"/>
      <c r="J95" s="30"/>
      <c r="K95" s="30"/>
      <c r="L95" s="38">
        <v>170</v>
      </c>
      <c r="M95" s="2"/>
      <c r="N95" s="39"/>
      <c r="O95" s="39"/>
      <c r="P95" s="53"/>
      <c r="Q95" s="52"/>
      <c r="R95" s="53"/>
      <c r="S95" s="14"/>
      <c r="T95" s="73"/>
      <c r="U95" s="6"/>
      <c r="V95" s="7"/>
      <c r="W95" s="8"/>
      <c r="X95" s="8"/>
      <c r="Y95" s="8"/>
      <c r="Z95" s="8"/>
      <c r="AA95" s="8"/>
    </row>
    <row r="96" spans="1:27" ht="19.149999999999999" customHeight="1" x14ac:dyDescent="0.25">
      <c r="A96" s="2"/>
      <c r="B96" s="30"/>
      <c r="C96" s="2"/>
      <c r="D96" s="2"/>
      <c r="E96" s="2"/>
      <c r="F96" s="2"/>
      <c r="G96" s="6"/>
      <c r="H96" s="30"/>
      <c r="I96" s="7"/>
      <c r="J96" s="30"/>
      <c r="K96" s="30"/>
      <c r="L96" s="76">
        <f>SUM(L93:L95)</f>
        <v>8570</v>
      </c>
      <c r="M96" s="34" t="s">
        <v>140</v>
      </c>
      <c r="N96" s="39"/>
      <c r="O96" s="89"/>
      <c r="P96" s="90">
        <f>SUM(P93:P95)</f>
        <v>7120</v>
      </c>
      <c r="Q96" s="91">
        <f>SUM(Q93:Q95)</f>
        <v>5370</v>
      </c>
      <c r="R96" s="91">
        <f>SUM(R93:R95)</f>
        <v>7120</v>
      </c>
      <c r="S96" s="92">
        <f>SUM(S93:S95)</f>
        <v>0</v>
      </c>
      <c r="T96" s="73"/>
      <c r="U96" s="6"/>
      <c r="V96" s="7"/>
      <c r="W96" s="8"/>
      <c r="X96" s="8"/>
      <c r="Y96" s="8"/>
      <c r="Z96" s="8"/>
      <c r="AA96" s="8"/>
    </row>
    <row r="97" spans="1:27" ht="19.149999999999999" customHeight="1" x14ac:dyDescent="0.25">
      <c r="A97" s="2"/>
      <c r="B97" s="30"/>
      <c r="C97" s="63" t="s">
        <v>59</v>
      </c>
      <c r="D97" s="64"/>
      <c r="E97" s="64"/>
      <c r="F97" s="64"/>
      <c r="G97" s="65" t="s">
        <v>73</v>
      </c>
      <c r="H97" s="49"/>
      <c r="I97" s="30">
        <f>I89</f>
        <v>2601704</v>
      </c>
      <c r="J97" s="30"/>
      <c r="K97" s="30"/>
      <c r="L97" s="66"/>
      <c r="M97" s="67" t="s">
        <v>74</v>
      </c>
      <c r="N97" s="39"/>
      <c r="O97" s="39"/>
      <c r="P97" s="68"/>
      <c r="Q97" s="45"/>
      <c r="R97" s="68"/>
      <c r="S97" s="27"/>
      <c r="T97" s="72"/>
      <c r="U97" s="2"/>
      <c r="V97" s="2"/>
      <c r="W97" s="8"/>
      <c r="X97" s="8"/>
      <c r="Y97" s="8"/>
      <c r="Z97" s="8"/>
      <c r="AA97" s="8"/>
    </row>
    <row r="98" spans="1:27" ht="19.149999999999999" customHeight="1" x14ac:dyDescent="0.25">
      <c r="A98" s="2"/>
      <c r="B98" s="30"/>
      <c r="C98" s="69"/>
      <c r="D98" s="64"/>
      <c r="E98" s="64"/>
      <c r="F98" s="64"/>
      <c r="G98" s="65" t="s">
        <v>141</v>
      </c>
      <c r="H98" s="49"/>
      <c r="I98" s="30"/>
      <c r="J98" s="30"/>
      <c r="K98" s="30"/>
      <c r="L98" s="51"/>
      <c r="M98" s="50"/>
      <c r="N98" s="39"/>
      <c r="O98" s="39"/>
      <c r="P98" s="71"/>
      <c r="Q98" s="48"/>
      <c r="R98" s="71"/>
      <c r="S98" s="6"/>
      <c r="T98" s="72"/>
      <c r="U98" s="2"/>
      <c r="V98" s="2"/>
      <c r="W98" s="8"/>
      <c r="X98" s="8"/>
      <c r="Y98" s="8"/>
      <c r="Z98" s="8"/>
      <c r="AA98" s="8"/>
    </row>
    <row r="99" spans="1:27" ht="19.149999999999999" customHeight="1" x14ac:dyDescent="0.25">
      <c r="A99" s="2"/>
      <c r="B99" s="30"/>
      <c r="C99" s="69"/>
      <c r="D99" s="64"/>
      <c r="E99" s="64"/>
      <c r="F99" s="64"/>
      <c r="G99" s="69"/>
      <c r="H99" s="49"/>
      <c r="I99" s="30"/>
      <c r="J99" s="30"/>
      <c r="K99" s="30"/>
      <c r="L99" s="51"/>
      <c r="M99" s="50"/>
      <c r="N99" s="39"/>
      <c r="O99" s="39"/>
      <c r="P99" s="71"/>
      <c r="Q99" s="48"/>
      <c r="R99" s="71"/>
      <c r="S99" s="6"/>
      <c r="T99" s="72"/>
      <c r="U99" s="2"/>
      <c r="V99" s="2"/>
      <c r="W99" s="8"/>
      <c r="X99" s="8"/>
      <c r="Y99" s="8"/>
      <c r="Z99" s="8"/>
      <c r="AA99" s="8"/>
    </row>
    <row r="100" spans="1:27" ht="34.15" customHeight="1" x14ac:dyDescent="0.3">
      <c r="A100" s="2"/>
      <c r="B100" s="381" t="s">
        <v>142</v>
      </c>
      <c r="C100" s="382"/>
      <c r="D100" s="2"/>
      <c r="E100" s="2"/>
      <c r="F100" s="2"/>
      <c r="G100" s="2"/>
      <c r="H100" s="30"/>
      <c r="I100" s="30"/>
      <c r="J100" s="30"/>
      <c r="K100" s="30"/>
      <c r="L100" s="39"/>
      <c r="M100" s="2"/>
      <c r="N100" s="39"/>
      <c r="O100" s="39"/>
      <c r="P100" s="71"/>
      <c r="Q100" s="48"/>
      <c r="R100" s="33"/>
      <c r="S100" s="6"/>
      <c r="T100" s="73"/>
      <c r="U100" s="6"/>
      <c r="V100" s="7"/>
      <c r="W100" s="8"/>
      <c r="X100" s="8"/>
      <c r="Y100" s="8"/>
      <c r="Z100" s="8"/>
      <c r="AA100" s="8"/>
    </row>
    <row r="101" spans="1:27" ht="19.149999999999999" customHeight="1" x14ac:dyDescent="0.25">
      <c r="A101" s="2"/>
      <c r="B101" s="30"/>
      <c r="C101" s="2"/>
      <c r="D101" s="2"/>
      <c r="E101" s="2"/>
      <c r="F101" s="2"/>
      <c r="G101" s="2"/>
      <c r="H101" s="30"/>
      <c r="I101" s="30"/>
      <c r="J101" s="30"/>
      <c r="K101" s="30"/>
      <c r="L101" s="39"/>
      <c r="M101" s="2"/>
      <c r="N101" s="39"/>
      <c r="O101" s="39"/>
      <c r="P101" s="71"/>
      <c r="Q101" s="48"/>
      <c r="R101" s="33"/>
      <c r="S101" s="6"/>
      <c r="T101" s="73"/>
      <c r="U101" s="6"/>
      <c r="V101" s="7"/>
      <c r="W101" s="8"/>
      <c r="X101" s="8"/>
      <c r="Y101" s="8"/>
      <c r="Z101" s="8"/>
      <c r="AA101" s="8"/>
    </row>
    <row r="102" spans="1:27" ht="19.149999999999999" customHeight="1" x14ac:dyDescent="0.25">
      <c r="A102" s="34" t="s">
        <v>143</v>
      </c>
      <c r="B102" s="35" t="s">
        <v>144</v>
      </c>
      <c r="C102" s="2"/>
      <c r="D102" s="2"/>
      <c r="E102" s="37" t="s">
        <v>145</v>
      </c>
      <c r="F102" s="2"/>
      <c r="G102" s="37" t="s">
        <v>146</v>
      </c>
      <c r="H102" s="35" t="s">
        <v>147</v>
      </c>
      <c r="I102" s="35">
        <v>2601841</v>
      </c>
      <c r="J102" s="30">
        <v>2701078</v>
      </c>
      <c r="K102" s="35">
        <v>75560876</v>
      </c>
      <c r="L102" s="39"/>
      <c r="M102" s="37" t="s">
        <v>148</v>
      </c>
      <c r="N102" s="39"/>
      <c r="O102" s="39"/>
      <c r="P102" s="71"/>
      <c r="Q102" s="48"/>
      <c r="R102" s="33"/>
      <c r="S102" s="6"/>
      <c r="T102" s="73"/>
      <c r="U102" s="6"/>
      <c r="V102" s="7"/>
      <c r="W102" s="8"/>
      <c r="X102" s="8"/>
      <c r="Y102" s="8"/>
      <c r="Z102" s="8"/>
      <c r="AA102" s="8"/>
    </row>
    <row r="103" spans="1:27" ht="19.149999999999999" customHeight="1" x14ac:dyDescent="0.25">
      <c r="A103" s="2"/>
      <c r="B103" s="35" t="s">
        <v>149</v>
      </c>
      <c r="C103" s="2"/>
      <c r="D103" s="2"/>
      <c r="E103" s="37" t="s">
        <v>150</v>
      </c>
      <c r="F103" s="2"/>
      <c r="G103" s="37" t="s">
        <v>151</v>
      </c>
      <c r="H103" s="30"/>
      <c r="I103" s="30"/>
      <c r="J103" s="30"/>
      <c r="K103" s="43">
        <v>41425</v>
      </c>
      <c r="L103" s="39"/>
      <c r="M103" s="36" t="s">
        <v>152</v>
      </c>
      <c r="N103" s="51"/>
      <c r="O103" s="93"/>
      <c r="P103" s="70"/>
      <c r="Q103" s="48"/>
      <c r="R103" s="33"/>
      <c r="S103" s="6"/>
      <c r="T103" s="73"/>
      <c r="U103" s="6"/>
      <c r="V103" s="7"/>
      <c r="W103" s="8"/>
      <c r="X103" s="8"/>
      <c r="Y103" s="8"/>
      <c r="Z103" s="8"/>
      <c r="AA103" s="8"/>
    </row>
    <row r="104" spans="1:27" ht="19.149999999999999" customHeight="1" x14ac:dyDescent="0.25">
      <c r="A104" s="2"/>
      <c r="B104" s="30"/>
      <c r="C104" s="2"/>
      <c r="D104" s="2"/>
      <c r="E104" s="2"/>
      <c r="F104" s="2"/>
      <c r="G104" s="94"/>
      <c r="H104" s="95"/>
      <c r="I104" s="30"/>
      <c r="J104" s="30"/>
      <c r="K104" s="30"/>
      <c r="L104" s="95"/>
      <c r="M104" s="37" t="s">
        <v>153</v>
      </c>
      <c r="N104" s="39"/>
      <c r="O104" s="39"/>
      <c r="P104" s="96"/>
      <c r="Q104" s="48"/>
      <c r="R104" s="33"/>
      <c r="S104" s="6"/>
      <c r="T104" s="73"/>
      <c r="U104" s="6"/>
      <c r="V104" s="7"/>
      <c r="W104" s="8"/>
      <c r="X104" s="8"/>
      <c r="Y104" s="8"/>
      <c r="Z104" s="8"/>
      <c r="AA104" s="8"/>
    </row>
    <row r="105" spans="1:27" ht="19.149999999999999" customHeight="1" x14ac:dyDescent="0.25">
      <c r="A105" s="2"/>
      <c r="B105" s="35" t="s">
        <v>144</v>
      </c>
      <c r="C105" s="35" t="s">
        <v>59</v>
      </c>
      <c r="D105" s="2"/>
      <c r="E105" s="37" t="s">
        <v>145</v>
      </c>
      <c r="F105" s="2"/>
      <c r="G105" s="37" t="s">
        <v>154</v>
      </c>
      <c r="H105" s="30"/>
      <c r="I105" s="30"/>
      <c r="J105" s="35" t="s">
        <v>155</v>
      </c>
      <c r="K105" s="30"/>
      <c r="L105" s="39"/>
      <c r="M105" s="2"/>
      <c r="N105" s="39"/>
      <c r="O105" s="39"/>
      <c r="P105" s="71"/>
      <c r="Q105" s="48"/>
      <c r="R105" s="33"/>
      <c r="S105" s="6"/>
      <c r="T105" s="73"/>
      <c r="U105" s="6"/>
      <c r="V105" s="7"/>
      <c r="W105" s="8"/>
      <c r="X105" s="8"/>
      <c r="Y105" s="8"/>
      <c r="Z105" s="8"/>
      <c r="AA105" s="8"/>
    </row>
    <row r="106" spans="1:27" ht="19.149999999999999" customHeight="1" x14ac:dyDescent="0.25">
      <c r="A106" s="2"/>
      <c r="B106" s="35" t="s">
        <v>156</v>
      </c>
      <c r="C106" s="2"/>
      <c r="D106" s="2"/>
      <c r="E106" s="2"/>
      <c r="F106" s="2"/>
      <c r="G106" s="2"/>
      <c r="H106" s="30"/>
      <c r="I106" s="30"/>
      <c r="J106" s="30"/>
      <c r="K106" s="30"/>
      <c r="L106" s="39"/>
      <c r="M106" s="2"/>
      <c r="N106" s="39"/>
      <c r="O106" s="39"/>
      <c r="P106" s="71"/>
      <c r="Q106" s="48"/>
      <c r="R106" s="33"/>
      <c r="S106" s="6"/>
      <c r="T106" s="73"/>
      <c r="U106" s="6"/>
      <c r="V106" s="7"/>
      <c r="W106" s="8"/>
      <c r="X106" s="8"/>
      <c r="Y106" s="8"/>
      <c r="Z106" s="8"/>
      <c r="AA106" s="8"/>
    </row>
    <row r="107" spans="1:27" ht="19.149999999999999" customHeight="1" x14ac:dyDescent="0.25">
      <c r="A107" s="2"/>
      <c r="B107" s="30"/>
      <c r="C107" s="2"/>
      <c r="D107" s="2"/>
      <c r="E107" s="2"/>
      <c r="F107" s="2"/>
      <c r="G107" s="2"/>
      <c r="H107" s="30"/>
      <c r="I107" s="30"/>
      <c r="J107" s="30"/>
      <c r="K107" s="30"/>
      <c r="L107" s="39"/>
      <c r="M107" s="2"/>
      <c r="N107" s="39"/>
      <c r="O107" s="39"/>
      <c r="P107" s="71"/>
      <c r="Q107" s="48"/>
      <c r="R107" s="33"/>
      <c r="S107" s="6"/>
      <c r="T107" s="73"/>
      <c r="U107" s="6"/>
      <c r="V107" s="7"/>
      <c r="W107" s="8"/>
      <c r="X107" s="8"/>
      <c r="Y107" s="8"/>
      <c r="Z107" s="8"/>
      <c r="AA107" s="8"/>
    </row>
    <row r="108" spans="1:27" ht="16.149999999999999" customHeight="1" x14ac:dyDescent="0.25">
      <c r="A108" s="34" t="s">
        <v>157</v>
      </c>
      <c r="B108" s="35" t="s">
        <v>158</v>
      </c>
      <c r="C108" s="2"/>
      <c r="D108" s="2"/>
      <c r="E108" s="37" t="s">
        <v>145</v>
      </c>
      <c r="F108" s="2"/>
      <c r="G108" s="37" t="s">
        <v>159</v>
      </c>
      <c r="H108" s="35" t="s">
        <v>147</v>
      </c>
      <c r="I108" s="30"/>
      <c r="J108" s="30"/>
      <c r="K108" s="30"/>
      <c r="L108" s="39"/>
      <c r="M108" s="2"/>
      <c r="N108" s="39"/>
      <c r="O108" s="39"/>
      <c r="P108" s="71"/>
      <c r="Q108" s="48"/>
      <c r="R108" s="33"/>
      <c r="S108" s="6"/>
      <c r="T108" s="73"/>
      <c r="U108" s="6"/>
      <c r="V108" s="7"/>
      <c r="W108" s="8"/>
      <c r="X108" s="8"/>
      <c r="Y108" s="8"/>
      <c r="Z108" s="8"/>
      <c r="AA108" s="8"/>
    </row>
    <row r="109" spans="1:27" ht="16.149999999999999" customHeight="1" x14ac:dyDescent="0.25">
      <c r="A109" s="55"/>
      <c r="B109" s="30"/>
      <c r="C109" s="2"/>
      <c r="D109" s="2"/>
      <c r="E109" s="2"/>
      <c r="F109" s="2"/>
      <c r="G109" s="2"/>
      <c r="H109" s="30"/>
      <c r="I109" s="30"/>
      <c r="J109" s="30"/>
      <c r="K109" s="30"/>
      <c r="L109" s="39"/>
      <c r="M109" s="2"/>
      <c r="N109" s="39"/>
      <c r="O109" s="39"/>
      <c r="P109" s="71"/>
      <c r="Q109" s="48"/>
      <c r="R109" s="33"/>
      <c r="S109" s="6"/>
      <c r="T109" s="73"/>
      <c r="U109" s="6"/>
      <c r="V109" s="7"/>
      <c r="W109" s="8"/>
      <c r="X109" s="8"/>
      <c r="Y109" s="8"/>
      <c r="Z109" s="8"/>
      <c r="AA109" s="8"/>
    </row>
    <row r="110" spans="1:27" ht="19.149999999999999" customHeight="1" x14ac:dyDescent="0.25">
      <c r="A110" s="55"/>
      <c r="B110" s="30"/>
      <c r="C110" s="2"/>
      <c r="D110" s="2"/>
      <c r="E110" s="2"/>
      <c r="F110" s="2"/>
      <c r="G110" s="83" t="s">
        <v>160</v>
      </c>
      <c r="H110" s="77"/>
      <c r="I110" s="30"/>
      <c r="J110" s="30"/>
      <c r="K110" s="30"/>
      <c r="L110" s="39"/>
      <c r="M110" s="2"/>
      <c r="N110" s="39"/>
      <c r="O110" s="39"/>
      <c r="P110" s="71"/>
      <c r="Q110" s="48"/>
      <c r="R110" s="33"/>
      <c r="S110" s="178"/>
      <c r="T110" s="73"/>
      <c r="U110" s="6"/>
      <c r="V110" s="7"/>
      <c r="W110" s="8"/>
      <c r="X110" s="8"/>
      <c r="Y110" s="8"/>
      <c r="Z110" s="8"/>
      <c r="AA110" s="8"/>
    </row>
    <row r="111" spans="1:27" ht="19.149999999999999" customHeight="1" x14ac:dyDescent="0.25">
      <c r="A111" s="55"/>
      <c r="B111" s="2"/>
      <c r="C111" s="2"/>
      <c r="D111" s="2"/>
      <c r="E111" s="36" t="s">
        <v>161</v>
      </c>
      <c r="F111" s="2"/>
      <c r="G111" s="37" t="s">
        <v>162</v>
      </c>
      <c r="H111" s="35" t="s">
        <v>147</v>
      </c>
      <c r="I111" s="35">
        <v>2601842</v>
      </c>
      <c r="J111" s="30">
        <v>2701079</v>
      </c>
      <c r="K111" s="35">
        <v>75560873</v>
      </c>
      <c r="L111" s="39">
        <v>5138</v>
      </c>
      <c r="M111" s="36" t="s">
        <v>163</v>
      </c>
      <c r="N111" s="39">
        <v>250</v>
      </c>
      <c r="O111" s="39">
        <v>4</v>
      </c>
      <c r="P111" s="33">
        <f>N111*O111</f>
        <v>1000</v>
      </c>
      <c r="Q111" s="48">
        <v>1000</v>
      </c>
      <c r="R111" s="274">
        <v>750</v>
      </c>
      <c r="S111" s="311">
        <f>P111-R111</f>
        <v>250</v>
      </c>
      <c r="T111" s="310" t="s">
        <v>466</v>
      </c>
      <c r="U111" s="6"/>
      <c r="V111" s="7"/>
      <c r="W111" s="8"/>
      <c r="X111" s="8"/>
      <c r="Y111" s="8"/>
      <c r="Z111" s="8"/>
      <c r="AA111" s="8"/>
    </row>
    <row r="112" spans="1:27" ht="19.149999999999999" customHeight="1" x14ac:dyDescent="0.25">
      <c r="A112" s="2"/>
      <c r="B112" s="30"/>
      <c r="C112" s="2"/>
      <c r="D112" s="2"/>
      <c r="E112" s="2"/>
      <c r="F112" s="2"/>
      <c r="G112" s="37" t="s">
        <v>164</v>
      </c>
      <c r="H112" s="30"/>
      <c r="I112" s="30"/>
      <c r="J112" s="30"/>
      <c r="K112" s="43">
        <v>41425</v>
      </c>
      <c r="L112" s="51"/>
      <c r="M112" s="97" t="s">
        <v>165</v>
      </c>
      <c r="N112" s="51"/>
      <c r="O112" s="93"/>
      <c r="P112" s="70"/>
      <c r="Q112" s="48"/>
      <c r="R112" s="33"/>
      <c r="S112" s="220"/>
      <c r="T112" s="309" t="s">
        <v>467</v>
      </c>
      <c r="U112" s="6"/>
      <c r="V112" s="7"/>
      <c r="W112" s="8"/>
      <c r="X112" s="8"/>
      <c r="Y112" s="8"/>
      <c r="Z112" s="8"/>
      <c r="AA112" s="8"/>
    </row>
    <row r="113" spans="1:27" ht="19.149999999999999" customHeight="1" x14ac:dyDescent="0.25">
      <c r="A113" s="2"/>
      <c r="B113" s="30"/>
      <c r="C113" s="2"/>
      <c r="D113" s="2"/>
      <c r="E113" s="2"/>
      <c r="F113" s="2"/>
      <c r="G113" s="37" t="s">
        <v>166</v>
      </c>
      <c r="H113" s="30"/>
      <c r="I113" s="30"/>
      <c r="J113" s="30"/>
      <c r="K113" s="30"/>
      <c r="L113" s="39"/>
      <c r="M113" s="97" t="s">
        <v>167</v>
      </c>
      <c r="N113" s="39"/>
      <c r="O113" s="39"/>
      <c r="P113" s="47"/>
      <c r="Q113" s="48"/>
      <c r="R113" s="33"/>
      <c r="S113" s="6"/>
      <c r="T113" s="98"/>
      <c r="U113" s="6"/>
      <c r="V113" s="7"/>
      <c r="W113" s="8"/>
      <c r="X113" s="8"/>
      <c r="Y113" s="8"/>
      <c r="Z113" s="8"/>
      <c r="AA113" s="8"/>
    </row>
    <row r="114" spans="1:27" ht="19.149999999999999" customHeight="1" x14ac:dyDescent="0.25">
      <c r="A114" s="2"/>
      <c r="B114" s="30"/>
      <c r="C114" s="2"/>
      <c r="D114" s="2"/>
      <c r="E114" s="2"/>
      <c r="F114" s="2"/>
      <c r="G114" s="37" t="s">
        <v>168</v>
      </c>
      <c r="H114" s="30"/>
      <c r="I114" s="30"/>
      <c r="J114" s="30"/>
      <c r="K114" s="30"/>
      <c r="L114" s="39"/>
      <c r="M114" s="46"/>
      <c r="N114" s="39"/>
      <c r="O114" s="39"/>
      <c r="P114" s="47"/>
      <c r="Q114" s="48"/>
      <c r="R114" s="33"/>
      <c r="S114" s="6"/>
      <c r="T114" s="80"/>
      <c r="U114" s="6"/>
      <c r="V114" s="7"/>
      <c r="W114" s="8"/>
      <c r="X114" s="8"/>
      <c r="Y114" s="8"/>
      <c r="Z114" s="8"/>
      <c r="AA114" s="8"/>
    </row>
    <row r="115" spans="1:27" ht="19.149999999999999" customHeight="1" x14ac:dyDescent="0.25">
      <c r="A115" s="2"/>
      <c r="B115" s="30"/>
      <c r="C115" s="2"/>
      <c r="D115" s="2"/>
      <c r="E115" s="2"/>
      <c r="F115" s="2"/>
      <c r="G115" s="37" t="s">
        <v>169</v>
      </c>
      <c r="H115" s="30"/>
      <c r="I115" s="30"/>
      <c r="J115" s="30"/>
      <c r="K115" s="30"/>
      <c r="L115" s="39"/>
      <c r="M115" s="2"/>
      <c r="N115" s="39"/>
      <c r="O115" s="39"/>
      <c r="P115" s="47"/>
      <c r="Q115" s="48"/>
      <c r="R115" s="33"/>
      <c r="S115" s="6"/>
      <c r="T115" s="99"/>
      <c r="U115" s="6"/>
      <c r="V115" s="7"/>
      <c r="W115" s="8"/>
      <c r="X115" s="8"/>
      <c r="Y115" s="8"/>
      <c r="Z115" s="8"/>
      <c r="AA115" s="8"/>
    </row>
    <row r="116" spans="1:27" ht="19.149999999999999" customHeight="1" x14ac:dyDescent="0.25">
      <c r="A116" s="2"/>
      <c r="B116" s="30"/>
      <c r="C116" s="2"/>
      <c r="D116" s="2"/>
      <c r="E116" s="2"/>
      <c r="F116" s="2"/>
      <c r="G116" s="6"/>
      <c r="H116" s="30"/>
      <c r="I116" s="30"/>
      <c r="J116" s="30"/>
      <c r="K116" s="30"/>
      <c r="L116" s="39"/>
      <c r="M116" s="2"/>
      <c r="N116" s="39"/>
      <c r="O116" s="39"/>
      <c r="P116" s="47"/>
      <c r="Q116" s="48"/>
      <c r="R116" s="33"/>
      <c r="S116" s="6"/>
      <c r="T116" s="73"/>
      <c r="U116" s="6"/>
      <c r="V116" s="7"/>
      <c r="W116" s="8"/>
      <c r="X116" s="8"/>
      <c r="Y116" s="8"/>
      <c r="Z116" s="8"/>
      <c r="AA116" s="8"/>
    </row>
    <row r="117" spans="1:27" ht="19.149999999999999" customHeight="1" x14ac:dyDescent="0.25">
      <c r="A117" s="34" t="s">
        <v>170</v>
      </c>
      <c r="B117" s="35" t="s">
        <v>158</v>
      </c>
      <c r="C117" s="2"/>
      <c r="D117" s="2"/>
      <c r="E117" s="37" t="s">
        <v>145</v>
      </c>
      <c r="F117" s="2"/>
      <c r="G117" s="37" t="s">
        <v>171</v>
      </c>
      <c r="H117" s="35" t="s">
        <v>147</v>
      </c>
      <c r="I117" s="35">
        <v>2601843</v>
      </c>
      <c r="J117" s="30">
        <v>2701080</v>
      </c>
      <c r="K117" s="35">
        <v>75560872</v>
      </c>
      <c r="L117" s="39">
        <v>3000</v>
      </c>
      <c r="M117" s="100" t="s">
        <v>172</v>
      </c>
      <c r="N117" s="39">
        <v>75</v>
      </c>
      <c r="O117" s="39">
        <v>1000</v>
      </c>
      <c r="P117" s="33">
        <f>(L117/O117)*N117</f>
        <v>225</v>
      </c>
      <c r="Q117" s="48">
        <v>150</v>
      </c>
      <c r="R117" s="33">
        <v>225</v>
      </c>
      <c r="S117" s="6">
        <f>P117-R117</f>
        <v>0</v>
      </c>
      <c r="T117" s="98"/>
      <c r="U117" s="6"/>
      <c r="V117" s="7"/>
      <c r="W117" s="8"/>
      <c r="X117" s="8"/>
      <c r="Y117" s="8"/>
      <c r="Z117" s="8"/>
      <c r="AA117" s="8"/>
    </row>
    <row r="118" spans="1:27" ht="19.149999999999999" customHeight="1" x14ac:dyDescent="0.25">
      <c r="A118" s="2"/>
      <c r="B118" s="30"/>
      <c r="C118" s="2"/>
      <c r="D118" s="2"/>
      <c r="E118" s="36" t="s">
        <v>173</v>
      </c>
      <c r="F118" s="2"/>
      <c r="G118" s="37" t="s">
        <v>174</v>
      </c>
      <c r="H118" s="30"/>
      <c r="I118" s="30"/>
      <c r="J118" s="30"/>
      <c r="K118" s="43">
        <v>41425</v>
      </c>
      <c r="L118" s="51"/>
      <c r="M118" s="100" t="s">
        <v>175</v>
      </c>
      <c r="N118" s="39"/>
      <c r="O118" s="39"/>
      <c r="P118" s="47"/>
      <c r="Q118" s="8"/>
      <c r="R118" s="33"/>
      <c r="S118" s="6"/>
      <c r="T118" s="98"/>
      <c r="U118" s="6"/>
      <c r="V118" s="7"/>
      <c r="W118" s="8"/>
      <c r="X118" s="8"/>
      <c r="Y118" s="8"/>
      <c r="Z118" s="8"/>
      <c r="AA118" s="8"/>
    </row>
    <row r="119" spans="1:27" ht="19.149999999999999" customHeight="1" x14ac:dyDescent="0.25">
      <c r="A119" s="2"/>
      <c r="B119" s="30"/>
      <c r="C119" s="2"/>
      <c r="D119" s="2"/>
      <c r="E119" s="2"/>
      <c r="F119" s="2"/>
      <c r="G119" s="37" t="s">
        <v>176</v>
      </c>
      <c r="H119" s="30"/>
      <c r="I119" s="30"/>
      <c r="J119" s="30"/>
      <c r="K119" s="30"/>
      <c r="L119" s="39"/>
      <c r="M119" s="46"/>
      <c r="N119" s="39"/>
      <c r="O119" s="39"/>
      <c r="P119" s="47"/>
      <c r="Q119" s="48"/>
      <c r="R119" s="33"/>
      <c r="S119" s="6"/>
      <c r="T119" s="73"/>
      <c r="U119" s="6"/>
      <c r="V119" s="7"/>
      <c r="W119" s="8"/>
      <c r="X119" s="8"/>
      <c r="Y119" s="8"/>
      <c r="Z119" s="8"/>
      <c r="AA119" s="8"/>
    </row>
    <row r="120" spans="1:27" ht="19.149999999999999" customHeight="1" x14ac:dyDescent="0.25">
      <c r="A120" s="2"/>
      <c r="B120" s="30"/>
      <c r="C120" s="2"/>
      <c r="D120" s="2"/>
      <c r="E120" s="2"/>
      <c r="F120" s="2"/>
      <c r="G120" s="37" t="s">
        <v>177</v>
      </c>
      <c r="H120" s="30"/>
      <c r="I120" s="30"/>
      <c r="J120" s="30"/>
      <c r="K120" s="30"/>
      <c r="L120" s="39"/>
      <c r="M120" s="46"/>
      <c r="N120" s="39"/>
      <c r="O120" s="39"/>
      <c r="P120" s="47"/>
      <c r="Q120" s="48"/>
      <c r="R120" s="33"/>
      <c r="S120" s="6"/>
      <c r="T120" s="99"/>
      <c r="U120" s="6"/>
      <c r="V120" s="7"/>
      <c r="W120" s="8"/>
      <c r="X120" s="8"/>
      <c r="Y120" s="8"/>
      <c r="Z120" s="8"/>
      <c r="AA120" s="8"/>
    </row>
    <row r="121" spans="1:27" ht="19.149999999999999" customHeight="1" x14ac:dyDescent="0.25">
      <c r="A121" s="2"/>
      <c r="B121" s="30"/>
      <c r="C121" s="2"/>
      <c r="D121" s="2"/>
      <c r="E121" s="2"/>
      <c r="F121" s="2"/>
      <c r="G121" s="6"/>
      <c r="H121" s="30"/>
      <c r="I121" s="30"/>
      <c r="J121" s="30"/>
      <c r="K121" s="30"/>
      <c r="L121" s="39"/>
      <c r="M121" s="46"/>
      <c r="N121" s="39"/>
      <c r="O121" s="39"/>
      <c r="P121" s="47"/>
      <c r="Q121" s="48"/>
      <c r="R121" s="33"/>
      <c r="S121" s="6"/>
      <c r="T121" s="99"/>
      <c r="U121" s="6"/>
      <c r="V121" s="7"/>
      <c r="W121" s="8"/>
      <c r="X121" s="8"/>
      <c r="Y121" s="8"/>
      <c r="Z121" s="8"/>
      <c r="AA121" s="8"/>
    </row>
    <row r="122" spans="1:27" ht="19.149999999999999" customHeight="1" x14ac:dyDescent="0.25">
      <c r="A122" s="34" t="s">
        <v>178</v>
      </c>
      <c r="B122" s="35" t="s">
        <v>158</v>
      </c>
      <c r="C122" s="2"/>
      <c r="D122" s="2"/>
      <c r="E122" s="37" t="s">
        <v>145</v>
      </c>
      <c r="F122" s="2"/>
      <c r="G122" s="37" t="s">
        <v>179</v>
      </c>
      <c r="H122" s="35" t="s">
        <v>147</v>
      </c>
      <c r="I122" s="35">
        <v>2601844</v>
      </c>
      <c r="J122" s="30">
        <v>2701082</v>
      </c>
      <c r="K122" s="35">
        <v>79359789</v>
      </c>
      <c r="L122" s="39">
        <v>1183</v>
      </c>
      <c r="M122" s="100" t="s">
        <v>172</v>
      </c>
      <c r="N122" s="39">
        <v>75</v>
      </c>
      <c r="O122" s="39">
        <v>1000</v>
      </c>
      <c r="P122" s="33">
        <f>(L122/O122)*N122</f>
        <v>88.725000000000009</v>
      </c>
      <c r="Q122" s="48">
        <v>65</v>
      </c>
      <c r="R122" s="33">
        <v>89</v>
      </c>
      <c r="S122" s="6">
        <f>P122-R122</f>
        <v>-0.27499999999999147</v>
      </c>
      <c r="T122" s="98"/>
      <c r="U122" s="6"/>
      <c r="V122" s="7"/>
      <c r="W122" s="8"/>
      <c r="X122" s="8"/>
      <c r="Y122" s="8"/>
      <c r="Z122" s="8"/>
      <c r="AA122" s="8"/>
    </row>
    <row r="123" spans="1:27" ht="19.149999999999999" customHeight="1" x14ac:dyDescent="0.25">
      <c r="A123" s="2"/>
      <c r="B123" s="30"/>
      <c r="C123" s="2"/>
      <c r="D123" s="2"/>
      <c r="E123" s="36" t="s">
        <v>180</v>
      </c>
      <c r="F123" s="2"/>
      <c r="G123" s="37" t="s">
        <v>181</v>
      </c>
      <c r="H123" s="30"/>
      <c r="I123" s="30"/>
      <c r="J123" s="30"/>
      <c r="K123" s="35" t="s">
        <v>182</v>
      </c>
      <c r="L123" s="51"/>
      <c r="M123" s="100" t="s">
        <v>175</v>
      </c>
      <c r="N123" s="39"/>
      <c r="O123" s="39"/>
      <c r="P123" s="47"/>
      <c r="Q123" s="48"/>
      <c r="R123" s="33"/>
      <c r="S123" s="6"/>
      <c r="T123" s="98"/>
      <c r="U123" s="6"/>
      <c r="V123" s="7"/>
      <c r="W123" s="8"/>
      <c r="X123" s="8"/>
      <c r="Y123" s="8"/>
      <c r="Z123" s="8"/>
      <c r="AA123" s="8"/>
    </row>
    <row r="124" spans="1:27" ht="19.149999999999999" customHeight="1" x14ac:dyDescent="0.25">
      <c r="A124" s="2"/>
      <c r="B124" s="30"/>
      <c r="C124" s="2"/>
      <c r="D124" s="2"/>
      <c r="E124" s="2"/>
      <c r="F124" s="2"/>
      <c r="G124" s="37" t="s">
        <v>183</v>
      </c>
      <c r="H124" s="30"/>
      <c r="I124" s="30"/>
      <c r="J124" s="30"/>
      <c r="K124" s="30"/>
      <c r="L124" s="39"/>
      <c r="M124" s="2"/>
      <c r="N124" s="39"/>
      <c r="O124" s="39"/>
      <c r="P124" s="47"/>
      <c r="Q124" s="48"/>
      <c r="R124" s="33"/>
      <c r="S124" s="6"/>
      <c r="T124" s="73"/>
      <c r="U124" s="6"/>
      <c r="V124" s="7"/>
      <c r="W124" s="8"/>
      <c r="X124" s="8"/>
      <c r="Y124" s="8"/>
      <c r="Z124" s="8"/>
      <c r="AA124" s="8"/>
    </row>
    <row r="125" spans="1:27" ht="19.149999999999999" customHeight="1" x14ac:dyDescent="0.25">
      <c r="A125" s="2"/>
      <c r="B125" s="30"/>
      <c r="C125" s="2"/>
      <c r="D125" s="2"/>
      <c r="E125" s="2"/>
      <c r="F125" s="2"/>
      <c r="G125" s="101" t="s">
        <v>184</v>
      </c>
      <c r="H125" s="30"/>
      <c r="I125" s="30"/>
      <c r="J125" s="30"/>
      <c r="K125" s="30"/>
      <c r="L125" s="39"/>
      <c r="M125" s="2"/>
      <c r="N125" s="39"/>
      <c r="O125" s="39"/>
      <c r="P125" s="47"/>
      <c r="Q125" s="48"/>
      <c r="R125" s="33"/>
      <c r="S125" s="6"/>
      <c r="T125" s="73"/>
      <c r="U125" s="6"/>
      <c r="V125" s="7"/>
      <c r="W125" s="8"/>
      <c r="X125" s="8"/>
      <c r="Y125" s="8"/>
      <c r="Z125" s="8"/>
      <c r="AA125" s="8"/>
    </row>
    <row r="126" spans="1:27" ht="19.149999999999999" customHeight="1" x14ac:dyDescent="0.25">
      <c r="A126" s="2"/>
      <c r="B126" s="30"/>
      <c r="C126" s="2"/>
      <c r="D126" s="2"/>
      <c r="E126" s="2"/>
      <c r="F126" s="2"/>
      <c r="G126" s="37" t="s">
        <v>185</v>
      </c>
      <c r="H126" s="30"/>
      <c r="I126" s="30"/>
      <c r="J126" s="30"/>
      <c r="K126" s="30"/>
      <c r="L126" s="39"/>
      <c r="M126" s="2"/>
      <c r="N126" s="39"/>
      <c r="O126" s="39"/>
      <c r="P126" s="47"/>
      <c r="Q126" s="48"/>
      <c r="R126" s="33"/>
      <c r="S126" s="6"/>
      <c r="T126" s="73"/>
      <c r="U126" s="6"/>
      <c r="V126" s="7"/>
      <c r="W126" s="8"/>
      <c r="X126" s="8"/>
      <c r="Y126" s="8"/>
      <c r="Z126" s="8"/>
      <c r="AA126" s="8"/>
    </row>
    <row r="127" spans="1:27" ht="19.149999999999999" customHeight="1" x14ac:dyDescent="0.25">
      <c r="A127" s="2"/>
      <c r="B127" s="30"/>
      <c r="C127" s="2"/>
      <c r="D127" s="2"/>
      <c r="E127" s="2"/>
      <c r="F127" s="2"/>
      <c r="G127" s="37" t="s">
        <v>186</v>
      </c>
      <c r="H127" s="30"/>
      <c r="I127" s="30"/>
      <c r="J127" s="30"/>
      <c r="K127" s="30"/>
      <c r="L127" s="38">
        <v>853</v>
      </c>
      <c r="M127" s="46"/>
      <c r="N127" s="39"/>
      <c r="O127" s="39"/>
      <c r="P127" s="102"/>
      <c r="Q127" s="52"/>
      <c r="R127" s="53"/>
      <c r="S127" s="14"/>
      <c r="T127" s="73"/>
      <c r="U127" s="6"/>
      <c r="V127" s="7"/>
      <c r="W127" s="8"/>
      <c r="X127" s="8"/>
      <c r="Y127" s="8"/>
      <c r="Z127" s="8"/>
      <c r="AA127" s="8"/>
    </row>
    <row r="128" spans="1:27" ht="19.149999999999999" customHeight="1" x14ac:dyDescent="0.25">
      <c r="A128" s="2"/>
      <c r="B128" s="30"/>
      <c r="C128" s="2"/>
      <c r="D128" s="2"/>
      <c r="E128" s="2"/>
      <c r="F128" s="2"/>
      <c r="G128" s="37" t="s">
        <v>187</v>
      </c>
      <c r="H128" s="30"/>
      <c r="I128" s="30"/>
      <c r="J128" s="30"/>
      <c r="K128" s="30"/>
      <c r="L128" s="81">
        <f>SUM(L111:L127)</f>
        <v>10174</v>
      </c>
      <c r="M128" s="34" t="s">
        <v>188</v>
      </c>
      <c r="N128" s="39"/>
      <c r="O128" s="39"/>
      <c r="P128" s="44">
        <f>SUM(P111:P127)</f>
        <v>1313.7249999999999</v>
      </c>
      <c r="Q128" s="44">
        <f>SUM(Q111:Q127)</f>
        <v>1215</v>
      </c>
      <c r="R128" s="44">
        <f>SUM(R111:R127)</f>
        <v>1064</v>
      </c>
      <c r="S128" s="44">
        <f>SUM(S111:S127)</f>
        <v>249.72500000000002</v>
      </c>
      <c r="T128" s="73"/>
      <c r="U128" s="6"/>
      <c r="V128" s="7"/>
      <c r="W128" s="8"/>
      <c r="X128" s="8"/>
      <c r="Y128" s="8"/>
      <c r="Z128" s="8"/>
      <c r="AA128" s="8"/>
    </row>
    <row r="129" spans="1:27" ht="19.149999999999999" customHeight="1" x14ac:dyDescent="0.25">
      <c r="A129" s="2"/>
      <c r="B129" s="30"/>
      <c r="C129" s="2"/>
      <c r="D129" s="2"/>
      <c r="E129" s="2"/>
      <c r="F129" s="2"/>
      <c r="G129" s="6"/>
      <c r="H129" s="30"/>
      <c r="I129" s="30"/>
      <c r="J129" s="30"/>
      <c r="K129" s="30"/>
      <c r="L129" s="58"/>
      <c r="M129" s="46"/>
      <c r="N129" s="39"/>
      <c r="O129" s="39"/>
      <c r="P129" s="47"/>
      <c r="Q129" s="48"/>
      <c r="R129" s="33"/>
      <c r="S129" s="6"/>
      <c r="T129" s="73"/>
      <c r="U129" s="6"/>
      <c r="V129" s="7"/>
      <c r="W129" s="8"/>
      <c r="X129" s="8"/>
      <c r="Y129" s="8"/>
      <c r="Z129" s="8"/>
      <c r="AA129" s="8"/>
    </row>
    <row r="130" spans="1:27" ht="19.149999999999999" customHeight="1" x14ac:dyDescent="0.25">
      <c r="A130" s="2"/>
      <c r="B130" s="30"/>
      <c r="C130" s="2"/>
      <c r="D130" s="2"/>
      <c r="E130" s="2"/>
      <c r="F130" s="2"/>
      <c r="G130" s="83" t="s">
        <v>189</v>
      </c>
      <c r="H130" s="30"/>
      <c r="I130" s="30"/>
      <c r="J130" s="30"/>
      <c r="K130" s="30"/>
      <c r="L130" s="39"/>
      <c r="M130" s="2"/>
      <c r="N130" s="39"/>
      <c r="O130" s="39"/>
      <c r="P130" s="47"/>
      <c r="Q130" s="48"/>
      <c r="R130" s="33"/>
      <c r="S130" s="6"/>
      <c r="T130" s="73"/>
      <c r="U130" s="6"/>
      <c r="V130" s="7"/>
      <c r="W130" s="8"/>
      <c r="X130" s="8"/>
      <c r="Y130" s="8"/>
      <c r="Z130" s="8"/>
      <c r="AA130" s="8"/>
    </row>
    <row r="131" spans="1:27" ht="19.149999999999999" customHeight="1" x14ac:dyDescent="0.25">
      <c r="A131" s="34" t="s">
        <v>190</v>
      </c>
      <c r="B131" s="35" t="s">
        <v>158</v>
      </c>
      <c r="C131" s="2"/>
      <c r="D131" s="2"/>
      <c r="E131" s="37" t="s">
        <v>145</v>
      </c>
      <c r="F131" s="2"/>
      <c r="G131" s="37" t="s">
        <v>191</v>
      </c>
      <c r="H131" s="35" t="s">
        <v>147</v>
      </c>
      <c r="I131" s="35">
        <v>2601845</v>
      </c>
      <c r="J131" s="30">
        <v>2701081</v>
      </c>
      <c r="K131" s="35">
        <v>75274398</v>
      </c>
      <c r="L131" s="39">
        <v>1400</v>
      </c>
      <c r="M131" s="36" t="s">
        <v>86</v>
      </c>
      <c r="N131" s="39">
        <v>200</v>
      </c>
      <c r="O131" s="39">
        <v>1</v>
      </c>
      <c r="P131" s="33">
        <f>N131*O131</f>
        <v>200</v>
      </c>
      <c r="Q131" s="48">
        <f t="shared" ref="Q131:Q144" si="2">(750+500+71)/4</f>
        <v>330.25</v>
      </c>
      <c r="R131" s="33">
        <v>200</v>
      </c>
      <c r="S131" s="6">
        <f>P131-R131</f>
        <v>0</v>
      </c>
      <c r="T131" s="80"/>
      <c r="U131" s="6"/>
      <c r="V131" s="7"/>
      <c r="W131" s="8"/>
      <c r="X131" s="8"/>
      <c r="Y131" s="8"/>
      <c r="Z131" s="8"/>
      <c r="AA131" s="8"/>
    </row>
    <row r="132" spans="1:27" ht="19.149999999999999" customHeight="1" x14ac:dyDescent="0.25">
      <c r="A132" s="2"/>
      <c r="B132" s="30"/>
      <c r="C132" s="2"/>
      <c r="D132" s="2"/>
      <c r="E132" s="36" t="s">
        <v>192</v>
      </c>
      <c r="F132" s="2"/>
      <c r="G132" s="37" t="s">
        <v>193</v>
      </c>
      <c r="H132" s="30"/>
      <c r="I132" s="30"/>
      <c r="J132" s="30"/>
      <c r="K132" s="43">
        <v>41425</v>
      </c>
      <c r="L132" s="39"/>
      <c r="M132" s="2"/>
      <c r="N132" s="51"/>
      <c r="O132" s="93"/>
      <c r="P132" s="70"/>
      <c r="Q132" s="48"/>
      <c r="R132" s="33"/>
      <c r="S132" s="6"/>
      <c r="T132" s="73"/>
      <c r="U132" s="6"/>
      <c r="V132" s="7"/>
      <c r="W132" s="8"/>
      <c r="X132" s="8"/>
      <c r="Y132" s="8"/>
      <c r="Z132" s="8"/>
      <c r="AA132" s="8"/>
    </row>
    <row r="133" spans="1:27" ht="19.149999999999999" customHeight="1" x14ac:dyDescent="0.25">
      <c r="A133" s="2"/>
      <c r="B133" s="30"/>
      <c r="C133" s="2"/>
      <c r="D133" s="2"/>
      <c r="E133" s="2"/>
      <c r="F133" s="2"/>
      <c r="G133" s="37" t="s">
        <v>194</v>
      </c>
      <c r="H133" s="30"/>
      <c r="I133" s="30"/>
      <c r="J133" s="30"/>
      <c r="K133" s="30"/>
      <c r="L133" s="39"/>
      <c r="M133" s="46"/>
      <c r="N133" s="39"/>
      <c r="O133" s="39"/>
      <c r="P133" s="47"/>
      <c r="Q133" s="48"/>
      <c r="R133" s="33"/>
      <c r="S133" s="6"/>
      <c r="T133" s="73"/>
      <c r="U133" s="6"/>
      <c r="V133" s="7"/>
      <c r="W133" s="8"/>
      <c r="X133" s="8"/>
      <c r="Y133" s="8"/>
      <c r="Z133" s="8"/>
      <c r="AA133" s="8"/>
    </row>
    <row r="134" spans="1:27" ht="19.149999999999999" customHeight="1" x14ac:dyDescent="0.25">
      <c r="A134" s="2"/>
      <c r="B134" s="30"/>
      <c r="C134" s="2"/>
      <c r="D134" s="2"/>
      <c r="E134" s="2"/>
      <c r="F134" s="2"/>
      <c r="G134" s="6"/>
      <c r="H134" s="30"/>
      <c r="I134" s="30"/>
      <c r="J134" s="30"/>
      <c r="K134" s="30"/>
      <c r="L134" s="39"/>
      <c r="M134" s="2"/>
      <c r="N134" s="39"/>
      <c r="O134" s="39"/>
      <c r="P134" s="47"/>
      <c r="Q134" s="48"/>
      <c r="R134" s="33"/>
      <c r="S134" s="6"/>
      <c r="T134" s="73"/>
      <c r="U134" s="6"/>
      <c r="V134" s="7"/>
      <c r="W134" s="8"/>
      <c r="X134" s="8"/>
      <c r="Y134" s="8"/>
      <c r="Z134" s="8"/>
      <c r="AA134" s="8"/>
    </row>
    <row r="135" spans="1:27" ht="19.149999999999999" customHeight="1" x14ac:dyDescent="0.25">
      <c r="A135" s="34" t="s">
        <v>195</v>
      </c>
      <c r="B135" s="35" t="s">
        <v>196</v>
      </c>
      <c r="C135" s="4"/>
      <c r="D135" s="103"/>
      <c r="E135" s="37" t="s">
        <v>145</v>
      </c>
      <c r="F135" s="2"/>
      <c r="G135" s="37" t="s">
        <v>197</v>
      </c>
      <c r="H135" s="35" t="s">
        <v>147</v>
      </c>
      <c r="I135" s="35">
        <v>2601846</v>
      </c>
      <c r="J135" s="30">
        <v>2701083</v>
      </c>
      <c r="K135" s="35">
        <v>75560875</v>
      </c>
      <c r="L135" s="39">
        <v>1650</v>
      </c>
      <c r="M135" s="36" t="s">
        <v>86</v>
      </c>
      <c r="N135" s="39">
        <v>200</v>
      </c>
      <c r="O135" s="39">
        <v>1</v>
      </c>
      <c r="P135" s="33">
        <f>N135*O135</f>
        <v>200</v>
      </c>
      <c r="Q135" s="48">
        <f t="shared" si="2"/>
        <v>330.25</v>
      </c>
      <c r="R135" s="33">
        <v>200</v>
      </c>
      <c r="S135" s="6">
        <f>P135-R135</f>
        <v>0</v>
      </c>
      <c r="T135" s="80"/>
      <c r="U135" s="6"/>
      <c r="V135" s="7"/>
      <c r="W135" s="8"/>
      <c r="X135" s="8"/>
      <c r="Y135" s="8"/>
      <c r="Z135" s="8"/>
      <c r="AA135" s="8"/>
    </row>
    <row r="136" spans="1:27" ht="19.149999999999999" customHeight="1" x14ac:dyDescent="0.25">
      <c r="A136" s="2"/>
      <c r="B136" s="4"/>
      <c r="C136" s="4"/>
      <c r="D136" s="103"/>
      <c r="E136" s="36" t="s">
        <v>198</v>
      </c>
      <c r="F136" s="2"/>
      <c r="G136" s="37" t="s">
        <v>199</v>
      </c>
      <c r="H136" s="30"/>
      <c r="I136" s="30"/>
      <c r="J136" s="30"/>
      <c r="K136" s="43">
        <v>41425</v>
      </c>
      <c r="L136" s="51"/>
      <c r="M136" s="36" t="s">
        <v>200</v>
      </c>
      <c r="N136" s="39"/>
      <c r="O136" s="39"/>
      <c r="P136" s="33"/>
      <c r="Q136" s="48"/>
      <c r="R136" s="33"/>
      <c r="S136" s="6"/>
      <c r="T136" s="80"/>
      <c r="U136" s="6"/>
      <c r="V136" s="7"/>
      <c r="W136" s="8"/>
      <c r="X136" s="8"/>
      <c r="Y136" s="8"/>
      <c r="Z136" s="8"/>
      <c r="AA136" s="8"/>
    </row>
    <row r="137" spans="1:27" ht="19.149999999999999" customHeight="1" x14ac:dyDescent="0.25">
      <c r="A137" s="2"/>
      <c r="B137" s="4"/>
      <c r="C137" s="4"/>
      <c r="D137" s="103"/>
      <c r="E137" s="2"/>
      <c r="F137" s="2"/>
      <c r="G137" s="37" t="s">
        <v>201</v>
      </c>
      <c r="H137" s="30"/>
      <c r="I137" s="30"/>
      <c r="J137" s="30"/>
      <c r="K137" s="30"/>
      <c r="L137" s="39"/>
      <c r="M137" s="2"/>
      <c r="N137" s="39"/>
      <c r="O137" s="39"/>
      <c r="P137" s="47"/>
      <c r="Q137" s="48"/>
      <c r="R137" s="33"/>
      <c r="S137" s="6"/>
      <c r="T137" s="73"/>
      <c r="U137" s="6"/>
      <c r="V137" s="7"/>
      <c r="W137" s="8"/>
      <c r="X137" s="8"/>
      <c r="Y137" s="8"/>
      <c r="Z137" s="8"/>
      <c r="AA137" s="8"/>
    </row>
    <row r="138" spans="1:27" ht="19.149999999999999" customHeight="1" x14ac:dyDescent="0.25">
      <c r="A138" s="2"/>
      <c r="B138" s="4"/>
      <c r="C138" s="4"/>
      <c r="D138" s="103"/>
      <c r="E138" s="103"/>
      <c r="F138" s="103"/>
      <c r="G138" s="103"/>
      <c r="H138" s="30"/>
      <c r="I138" s="4"/>
      <c r="J138" s="4"/>
      <c r="K138" s="4"/>
      <c r="L138" s="104"/>
      <c r="M138" s="5"/>
      <c r="N138" s="104"/>
      <c r="O138" s="104"/>
      <c r="P138" s="47"/>
      <c r="Q138" s="105"/>
      <c r="R138" s="33"/>
      <c r="S138" s="6"/>
      <c r="T138" s="73"/>
      <c r="U138" s="6"/>
      <c r="V138" s="7"/>
      <c r="W138" s="8"/>
      <c r="X138" s="8"/>
      <c r="Y138" s="8"/>
      <c r="Z138" s="8"/>
      <c r="AA138" s="8"/>
    </row>
    <row r="139" spans="1:27" ht="19.149999999999999" customHeight="1" x14ac:dyDescent="0.25">
      <c r="A139" s="34" t="s">
        <v>202</v>
      </c>
      <c r="B139" s="35" t="s">
        <v>203</v>
      </c>
      <c r="C139" s="2"/>
      <c r="D139" s="2"/>
      <c r="E139" s="37" t="s">
        <v>145</v>
      </c>
      <c r="F139" s="2"/>
      <c r="G139" s="37" t="s">
        <v>204</v>
      </c>
      <c r="H139" s="35" t="s">
        <v>147</v>
      </c>
      <c r="I139" s="35">
        <v>2601847</v>
      </c>
      <c r="J139" s="30">
        <v>2701084</v>
      </c>
      <c r="K139" s="35">
        <v>75560871</v>
      </c>
      <c r="L139" s="39">
        <v>1170</v>
      </c>
      <c r="M139" s="36" t="s">
        <v>163</v>
      </c>
      <c r="N139" s="39">
        <v>250</v>
      </c>
      <c r="O139" s="39">
        <v>1</v>
      </c>
      <c r="P139" s="33">
        <f>N139*O139</f>
        <v>250</v>
      </c>
      <c r="Q139" s="48">
        <f t="shared" si="2"/>
        <v>330.25</v>
      </c>
      <c r="R139" s="33">
        <v>250</v>
      </c>
      <c r="S139" s="6">
        <f>P139-R139</f>
        <v>0</v>
      </c>
      <c r="T139" s="361"/>
      <c r="U139" s="8"/>
      <c r="V139" s="7"/>
      <c r="W139" s="8"/>
      <c r="X139" s="8"/>
      <c r="Y139" s="8"/>
      <c r="Z139" s="8"/>
      <c r="AA139" s="8"/>
    </row>
    <row r="140" spans="1:27" ht="19.149999999999999" customHeight="1" x14ac:dyDescent="0.25">
      <c r="A140" s="2"/>
      <c r="B140" s="30"/>
      <c r="C140" s="2"/>
      <c r="D140" s="2"/>
      <c r="E140" s="36" t="s">
        <v>205</v>
      </c>
      <c r="F140" s="2"/>
      <c r="G140" s="37" t="s">
        <v>37</v>
      </c>
      <c r="H140" s="30"/>
      <c r="I140" s="30"/>
      <c r="J140" s="30"/>
      <c r="K140" s="43">
        <v>41425</v>
      </c>
      <c r="L140" s="51"/>
      <c r="M140" s="2"/>
      <c r="N140" s="39"/>
      <c r="O140" s="39"/>
      <c r="P140" s="47"/>
      <c r="Q140" s="106"/>
      <c r="R140" s="33"/>
      <c r="S140" s="6"/>
      <c r="T140" s="67"/>
      <c r="U140" s="8"/>
      <c r="V140" s="7"/>
      <c r="W140" s="8"/>
      <c r="X140" s="8"/>
      <c r="Y140" s="8"/>
      <c r="Z140" s="8"/>
      <c r="AA140" s="8"/>
    </row>
    <row r="141" spans="1:27" ht="19.149999999999999" customHeight="1" x14ac:dyDescent="0.25">
      <c r="A141" s="2"/>
      <c r="B141" s="30"/>
      <c r="C141" s="2"/>
      <c r="D141" s="2"/>
      <c r="E141" s="2"/>
      <c r="F141" s="2"/>
      <c r="G141" s="37" t="s">
        <v>38</v>
      </c>
      <c r="H141" s="30"/>
      <c r="I141" s="30"/>
      <c r="J141" s="30"/>
      <c r="K141" s="30"/>
      <c r="L141" s="39"/>
      <c r="M141" s="2"/>
      <c r="N141" s="39"/>
      <c r="O141" s="39"/>
      <c r="P141" s="47"/>
      <c r="Q141" s="46"/>
      <c r="R141" s="33"/>
      <c r="S141" s="6"/>
      <c r="T141" s="80"/>
      <c r="U141" s="6"/>
      <c r="V141" s="7"/>
      <c r="W141" s="8"/>
      <c r="X141" s="8"/>
      <c r="Y141" s="8"/>
      <c r="Z141" s="8"/>
      <c r="AA141" s="8"/>
    </row>
    <row r="142" spans="1:27" ht="19.149999999999999" customHeight="1" x14ac:dyDescent="0.25">
      <c r="A142" s="2"/>
      <c r="B142" s="30"/>
      <c r="C142" s="2"/>
      <c r="D142" s="2"/>
      <c r="E142" s="2"/>
      <c r="F142" s="2"/>
      <c r="G142" s="37" t="s">
        <v>39</v>
      </c>
      <c r="H142" s="30"/>
      <c r="I142" s="30"/>
      <c r="J142" s="30"/>
      <c r="K142" s="30"/>
      <c r="L142" s="39"/>
      <c r="M142" s="2"/>
      <c r="N142" s="39"/>
      <c r="O142" s="39"/>
      <c r="P142" s="47"/>
      <c r="Q142" s="46"/>
      <c r="R142" s="33"/>
      <c r="S142" s="6"/>
      <c r="T142" s="99"/>
      <c r="U142" s="6"/>
      <c r="V142" s="7"/>
      <c r="W142" s="8"/>
      <c r="X142" s="8"/>
      <c r="Y142" s="8"/>
      <c r="Z142" s="8"/>
      <c r="AA142" s="8"/>
    </row>
    <row r="143" spans="1:27" ht="19.149999999999999" customHeight="1" x14ac:dyDescent="0.25">
      <c r="A143" s="2"/>
      <c r="B143" s="30"/>
      <c r="C143" s="2"/>
      <c r="D143" s="2"/>
      <c r="E143" s="2"/>
      <c r="F143" s="2"/>
      <c r="G143" s="6"/>
      <c r="H143" s="30"/>
      <c r="I143" s="30"/>
      <c r="J143" s="30"/>
      <c r="K143" s="30"/>
      <c r="L143" s="39"/>
      <c r="M143" s="2"/>
      <c r="N143" s="39"/>
      <c r="O143" s="39"/>
      <c r="P143" s="47"/>
      <c r="Q143" s="46"/>
      <c r="R143" s="33"/>
      <c r="S143" s="6"/>
      <c r="T143" s="73"/>
      <c r="U143" s="6"/>
      <c r="V143" s="7"/>
      <c r="W143" s="8"/>
      <c r="X143" s="8"/>
      <c r="Y143" s="8"/>
      <c r="Z143" s="8"/>
      <c r="AA143" s="8"/>
    </row>
    <row r="144" spans="1:27" ht="19.149999999999999" customHeight="1" x14ac:dyDescent="0.25">
      <c r="A144" s="34" t="s">
        <v>206</v>
      </c>
      <c r="B144" s="35" t="s">
        <v>203</v>
      </c>
      <c r="C144" s="2"/>
      <c r="D144" s="2"/>
      <c r="E144" s="37" t="s">
        <v>145</v>
      </c>
      <c r="F144" s="2"/>
      <c r="G144" s="37" t="s">
        <v>204</v>
      </c>
      <c r="H144" s="35" t="s">
        <v>147</v>
      </c>
      <c r="I144" s="35">
        <v>2601848</v>
      </c>
      <c r="J144" s="30">
        <v>2701085</v>
      </c>
      <c r="K144" s="35">
        <v>75560878</v>
      </c>
      <c r="L144" s="39">
        <v>1900</v>
      </c>
      <c r="M144" s="36" t="s">
        <v>163</v>
      </c>
      <c r="N144" s="39">
        <v>250</v>
      </c>
      <c r="O144" s="39">
        <v>1</v>
      </c>
      <c r="P144" s="33">
        <f>N144*O144</f>
        <v>250</v>
      </c>
      <c r="Q144" s="48">
        <f t="shared" si="2"/>
        <v>330.25</v>
      </c>
      <c r="R144" s="33">
        <v>250</v>
      </c>
      <c r="S144" s="6">
        <f>P144-R144</f>
        <v>0</v>
      </c>
      <c r="T144" s="67"/>
      <c r="U144" s="6"/>
      <c r="V144" s="7"/>
      <c r="W144" s="8"/>
      <c r="X144" s="8"/>
      <c r="Y144" s="8"/>
      <c r="Z144" s="8"/>
      <c r="AA144" s="8"/>
    </row>
    <row r="145" spans="1:27" ht="19.149999999999999" customHeight="1" x14ac:dyDescent="0.25">
      <c r="A145" s="2"/>
      <c r="B145" s="30"/>
      <c r="C145" s="2"/>
      <c r="D145" s="2"/>
      <c r="E145" s="36" t="s">
        <v>207</v>
      </c>
      <c r="F145" s="2"/>
      <c r="G145" s="37" t="s">
        <v>37</v>
      </c>
      <c r="H145" s="30"/>
      <c r="I145" s="30"/>
      <c r="J145" s="30"/>
      <c r="K145" s="43">
        <v>41425</v>
      </c>
      <c r="L145" s="51"/>
      <c r="M145" s="2"/>
      <c r="N145" s="39"/>
      <c r="O145" s="39"/>
      <c r="P145" s="79"/>
      <c r="Q145" s="8"/>
      <c r="R145" s="33"/>
      <c r="S145" s="6"/>
      <c r="T145" s="67"/>
      <c r="U145" s="6"/>
      <c r="V145" s="7"/>
      <c r="W145" s="8"/>
      <c r="X145" s="8"/>
      <c r="Y145" s="8"/>
      <c r="Z145" s="8"/>
      <c r="AA145" s="8"/>
    </row>
    <row r="146" spans="1:27" ht="19.149999999999999" customHeight="1" x14ac:dyDescent="0.25">
      <c r="A146" s="2"/>
      <c r="B146" s="30"/>
      <c r="C146" s="2"/>
      <c r="D146" s="2"/>
      <c r="E146" s="2"/>
      <c r="F146" s="2"/>
      <c r="G146" s="37" t="s">
        <v>38</v>
      </c>
      <c r="H146" s="30"/>
      <c r="I146" s="30"/>
      <c r="J146" s="30"/>
      <c r="K146" s="30"/>
      <c r="L146" s="39"/>
      <c r="M146" s="2"/>
      <c r="N146" s="39"/>
      <c r="O146" s="39"/>
      <c r="P146" s="79"/>
      <c r="Q146" s="48"/>
      <c r="R146" s="33"/>
      <c r="S146" s="6"/>
      <c r="T146" s="80"/>
      <c r="U146" s="6"/>
      <c r="V146" s="7"/>
      <c r="W146" s="8"/>
      <c r="X146" s="8"/>
      <c r="Y146" s="8"/>
      <c r="Z146" s="8"/>
      <c r="AA146" s="8"/>
    </row>
    <row r="147" spans="1:27" ht="19.149999999999999" customHeight="1" x14ac:dyDescent="0.25">
      <c r="A147" s="2"/>
      <c r="B147" s="30"/>
      <c r="C147" s="2"/>
      <c r="D147" s="2"/>
      <c r="E147" s="2"/>
      <c r="F147" s="2"/>
      <c r="G147" s="37" t="s">
        <v>39</v>
      </c>
      <c r="H147" s="30"/>
      <c r="I147" s="30"/>
      <c r="J147" s="30"/>
      <c r="K147" s="30"/>
      <c r="L147" s="39"/>
      <c r="M147" s="2"/>
      <c r="N147" s="39"/>
      <c r="O147" s="39"/>
      <c r="P147" s="33"/>
      <c r="Q147" s="48"/>
      <c r="R147" s="33"/>
      <c r="S147" s="6"/>
      <c r="T147" s="73"/>
      <c r="U147" s="6"/>
      <c r="V147" s="7"/>
      <c r="W147" s="8"/>
      <c r="X147" s="8"/>
      <c r="Y147" s="8"/>
      <c r="Z147" s="8"/>
      <c r="AA147" s="8"/>
    </row>
    <row r="148" spans="1:27" ht="19.149999999999999" customHeight="1" x14ac:dyDescent="0.25">
      <c r="A148" s="2"/>
      <c r="B148" s="30"/>
      <c r="C148" s="2"/>
      <c r="D148" s="2"/>
      <c r="E148" s="2"/>
      <c r="F148" s="2"/>
      <c r="G148" s="37" t="s">
        <v>208</v>
      </c>
      <c r="H148" s="30"/>
      <c r="I148" s="30"/>
      <c r="J148" s="30"/>
      <c r="K148" s="30"/>
      <c r="L148" s="39"/>
      <c r="M148" s="2"/>
      <c r="N148" s="39"/>
      <c r="O148" s="39"/>
      <c r="P148" s="33"/>
      <c r="Q148" s="48"/>
      <c r="R148" s="33"/>
      <c r="S148" s="6"/>
      <c r="T148" s="73"/>
      <c r="U148" s="6"/>
      <c r="V148" s="7"/>
      <c r="W148" s="8"/>
      <c r="X148" s="8"/>
      <c r="Y148" s="8"/>
      <c r="Z148" s="8"/>
      <c r="AA148" s="8"/>
    </row>
    <row r="149" spans="1:27" ht="19.149999999999999" customHeight="1" x14ac:dyDescent="0.25">
      <c r="A149" s="2"/>
      <c r="B149" s="30"/>
      <c r="C149" s="2"/>
      <c r="D149" s="2"/>
      <c r="E149" s="2"/>
      <c r="F149" s="2"/>
      <c r="G149" s="37" t="s">
        <v>209</v>
      </c>
      <c r="H149" s="30"/>
      <c r="I149" s="30"/>
      <c r="J149" s="30"/>
      <c r="K149" s="30"/>
      <c r="L149" s="38">
        <v>1333</v>
      </c>
      <c r="M149" s="2"/>
      <c r="N149" s="39"/>
      <c r="O149" s="39"/>
      <c r="P149" s="53"/>
      <c r="Q149" s="52"/>
      <c r="R149" s="53"/>
      <c r="S149" s="14"/>
      <c r="T149" s="80"/>
      <c r="U149" s="6"/>
      <c r="V149" s="7"/>
      <c r="W149" s="8"/>
      <c r="X149" s="8"/>
      <c r="Y149" s="8"/>
      <c r="Z149" s="8"/>
      <c r="AA149" s="8"/>
    </row>
    <row r="150" spans="1:27" ht="19.149999999999999" customHeight="1" x14ac:dyDescent="0.25">
      <c r="A150" s="2"/>
      <c r="B150" s="30"/>
      <c r="C150" s="2"/>
      <c r="D150" s="2"/>
      <c r="E150" s="2"/>
      <c r="F150" s="2"/>
      <c r="G150" s="37" t="s">
        <v>210</v>
      </c>
      <c r="H150" s="30"/>
      <c r="I150" s="30"/>
      <c r="J150" s="30"/>
      <c r="K150" s="30"/>
      <c r="L150" s="81">
        <f>SUM(L131:L149)</f>
        <v>7453</v>
      </c>
      <c r="M150" s="34" t="s">
        <v>211</v>
      </c>
      <c r="N150" s="39"/>
      <c r="O150" s="39"/>
      <c r="P150" s="82">
        <f>SUM(P131:P149)</f>
        <v>900</v>
      </c>
      <c r="Q150" s="82">
        <f>SUM(Q131:Q149)</f>
        <v>1321</v>
      </c>
      <c r="R150" s="82">
        <f>SUM(R131:R149)</f>
        <v>900</v>
      </c>
      <c r="S150" s="364">
        <f>SUM(S131:S149)</f>
        <v>0</v>
      </c>
      <c r="T150" s="73"/>
      <c r="U150" s="6"/>
      <c r="V150" s="7"/>
      <c r="W150" s="8"/>
      <c r="X150" s="8"/>
      <c r="Y150" s="8"/>
      <c r="Z150" s="8"/>
      <c r="AA150" s="8"/>
    </row>
    <row r="151" spans="1:27" ht="19.149999999999999" customHeight="1" x14ac:dyDescent="0.25">
      <c r="A151" s="2"/>
      <c r="B151" s="30"/>
      <c r="C151" s="2"/>
      <c r="D151" s="2"/>
      <c r="E151" s="2"/>
      <c r="F151" s="2"/>
      <c r="G151" s="6"/>
      <c r="H151" s="30"/>
      <c r="I151" s="30"/>
      <c r="J151" s="30"/>
      <c r="K151" s="30"/>
      <c r="L151" s="107"/>
      <c r="M151" s="55"/>
      <c r="N151" s="39"/>
      <c r="O151" s="39"/>
      <c r="P151" s="108"/>
      <c r="Q151" s="108"/>
      <c r="R151" s="108"/>
      <c r="S151" s="108"/>
      <c r="T151" s="73"/>
      <c r="U151" s="6"/>
      <c r="V151" s="7"/>
      <c r="W151" s="8"/>
      <c r="X151" s="8"/>
      <c r="Y151" s="8"/>
      <c r="Z151" s="8"/>
      <c r="AA151" s="8"/>
    </row>
    <row r="152" spans="1:27" ht="19.149999999999999" customHeight="1" x14ac:dyDescent="0.25">
      <c r="A152" s="2"/>
      <c r="B152" s="30"/>
      <c r="C152" s="2"/>
      <c r="D152" s="2"/>
      <c r="E152" s="2"/>
      <c r="F152" s="2"/>
      <c r="G152" s="2"/>
      <c r="H152" s="30"/>
      <c r="I152" s="7"/>
      <c r="J152" s="30"/>
      <c r="K152" s="30"/>
      <c r="L152" s="109">
        <f>L150+L128</f>
        <v>17627</v>
      </c>
      <c r="M152" s="36" t="s">
        <v>126</v>
      </c>
      <c r="N152" s="39"/>
      <c r="O152" s="39"/>
      <c r="P152" s="110">
        <f>P150+P128</f>
        <v>2213.7249999999999</v>
      </c>
      <c r="Q152" s="110">
        <f>Q150+Q128</f>
        <v>2536</v>
      </c>
      <c r="R152" s="110">
        <f>R150+R128</f>
        <v>1964</v>
      </c>
      <c r="S152" s="110">
        <f>S150+S128</f>
        <v>249.72500000000002</v>
      </c>
      <c r="T152" s="73"/>
      <c r="U152" s="6"/>
      <c r="V152" s="7"/>
      <c r="W152" s="8"/>
      <c r="X152" s="8"/>
      <c r="Y152" s="8"/>
      <c r="Z152" s="8"/>
      <c r="AA152" s="8"/>
    </row>
    <row r="153" spans="1:27" ht="19.149999999999999" customHeight="1" x14ac:dyDescent="0.25">
      <c r="A153" s="2"/>
      <c r="B153" s="30"/>
      <c r="C153" s="2"/>
      <c r="D153" s="2"/>
      <c r="E153" s="2"/>
      <c r="F153" s="2"/>
      <c r="G153" s="2"/>
      <c r="H153" s="30"/>
      <c r="I153" s="7"/>
      <c r="J153" s="30"/>
      <c r="K153" s="30"/>
      <c r="L153" s="58"/>
      <c r="M153" s="36" t="s">
        <v>212</v>
      </c>
      <c r="N153" s="39"/>
      <c r="O153" s="39"/>
      <c r="P153" s="44"/>
      <c r="Q153" s="45"/>
      <c r="R153" s="44"/>
      <c r="S153" s="27"/>
      <c r="T153" s="73"/>
      <c r="U153" s="6"/>
      <c r="V153" s="7"/>
      <c r="W153" s="8"/>
      <c r="X153" s="8"/>
      <c r="Y153" s="8"/>
      <c r="Z153" s="8"/>
      <c r="AA153" s="8"/>
    </row>
    <row r="154" spans="1:27" ht="19.149999999999999" customHeight="1" x14ac:dyDescent="0.25">
      <c r="A154" s="2"/>
      <c r="B154" s="30"/>
      <c r="C154" s="2"/>
      <c r="D154" s="2"/>
      <c r="E154" s="2"/>
      <c r="F154" s="2"/>
      <c r="G154" s="2"/>
      <c r="H154" s="30"/>
      <c r="I154" s="7"/>
      <c r="J154" s="30"/>
      <c r="K154" s="30"/>
      <c r="L154" s="39"/>
      <c r="M154" s="46"/>
      <c r="N154" s="39"/>
      <c r="O154" s="39"/>
      <c r="P154" s="33"/>
      <c r="Q154" s="48"/>
      <c r="R154" s="33"/>
      <c r="S154" s="6"/>
      <c r="T154" s="73"/>
      <c r="U154" s="6"/>
      <c r="V154" s="7"/>
      <c r="W154" s="8"/>
      <c r="X154" s="8"/>
      <c r="Y154" s="8"/>
      <c r="Z154" s="8"/>
      <c r="AA154" s="8"/>
    </row>
    <row r="155" spans="1:27" ht="19.149999999999999" customHeight="1" x14ac:dyDescent="0.25">
      <c r="A155" s="2"/>
      <c r="B155" s="35" t="s">
        <v>213</v>
      </c>
      <c r="C155" s="2"/>
      <c r="D155" s="2"/>
      <c r="E155" s="37" t="s">
        <v>214</v>
      </c>
      <c r="F155" s="2"/>
      <c r="G155" s="37" t="s">
        <v>215</v>
      </c>
      <c r="H155" s="30"/>
      <c r="I155" s="30"/>
      <c r="J155" s="35" t="s">
        <v>155</v>
      </c>
      <c r="K155" s="30"/>
      <c r="L155" s="39"/>
      <c r="M155" s="37" t="s">
        <v>216</v>
      </c>
      <c r="N155" s="39"/>
      <c r="O155" s="39"/>
      <c r="P155" s="33"/>
      <c r="Q155" s="111"/>
      <c r="R155" s="33"/>
      <c r="S155" s="6"/>
      <c r="T155" s="73"/>
      <c r="U155" s="6"/>
      <c r="V155" s="7"/>
      <c r="W155" s="8"/>
      <c r="X155" s="8"/>
      <c r="Y155" s="8"/>
      <c r="Z155" s="8"/>
      <c r="AA155" s="8"/>
    </row>
    <row r="156" spans="1:27" ht="19.149999999999999" customHeight="1" x14ac:dyDescent="0.25">
      <c r="A156" s="2"/>
      <c r="B156" s="35" t="s">
        <v>156</v>
      </c>
      <c r="C156" s="2"/>
      <c r="D156" s="2"/>
      <c r="E156" s="6"/>
      <c r="F156" s="2"/>
      <c r="G156" s="2"/>
      <c r="H156" s="30"/>
      <c r="I156" s="30"/>
      <c r="J156" s="30"/>
      <c r="K156" s="30"/>
      <c r="L156" s="39"/>
      <c r="M156" s="2"/>
      <c r="N156" s="39"/>
      <c r="O156" s="39"/>
      <c r="P156" s="33"/>
      <c r="Q156" s="112"/>
      <c r="R156" s="33"/>
      <c r="S156" s="6"/>
      <c r="T156" s="73"/>
      <c r="U156" s="6"/>
      <c r="V156" s="7"/>
      <c r="W156" s="8"/>
      <c r="X156" s="8"/>
      <c r="Y156" s="8"/>
      <c r="Z156" s="8"/>
      <c r="AA156" s="8"/>
    </row>
    <row r="157" spans="1:27" ht="19.149999999999999" customHeight="1" x14ac:dyDescent="0.25">
      <c r="A157" s="2"/>
      <c r="B157" s="2"/>
      <c r="C157" s="2"/>
      <c r="D157" s="2"/>
      <c r="E157" s="2"/>
      <c r="F157" s="2"/>
      <c r="G157" s="6"/>
      <c r="H157" s="30"/>
      <c r="I157" s="30"/>
      <c r="J157" s="30"/>
      <c r="K157" s="30"/>
      <c r="L157" s="39"/>
      <c r="M157" s="2"/>
      <c r="N157" s="39"/>
      <c r="O157" s="39"/>
      <c r="P157" s="33"/>
      <c r="Q157" s="112"/>
      <c r="R157" s="33"/>
      <c r="S157" s="6"/>
      <c r="T157" s="73"/>
      <c r="U157" s="6"/>
      <c r="V157" s="7"/>
      <c r="W157" s="8"/>
      <c r="X157" s="8"/>
      <c r="Y157" s="8"/>
      <c r="Z157" s="8"/>
      <c r="AA157" s="8"/>
    </row>
    <row r="158" spans="1:27" ht="19.149999999999999" customHeight="1" x14ac:dyDescent="0.25">
      <c r="A158" s="34" t="s">
        <v>217</v>
      </c>
      <c r="B158" s="35" t="s">
        <v>218</v>
      </c>
      <c r="C158" s="2"/>
      <c r="D158" s="2"/>
      <c r="E158" s="37" t="s">
        <v>214</v>
      </c>
      <c r="F158" s="2"/>
      <c r="G158" s="37" t="s">
        <v>219</v>
      </c>
      <c r="H158" s="35" t="s">
        <v>220</v>
      </c>
      <c r="I158" s="35">
        <v>2601815</v>
      </c>
      <c r="J158" s="30">
        <v>2701094</v>
      </c>
      <c r="K158" s="35">
        <v>72444845</v>
      </c>
      <c r="L158" s="39">
        <v>15000</v>
      </c>
      <c r="M158" s="67" t="s">
        <v>221</v>
      </c>
      <c r="N158" s="51">
        <v>20</v>
      </c>
      <c r="O158" s="51">
        <v>230</v>
      </c>
      <c r="P158" s="70">
        <v>2000</v>
      </c>
      <c r="Q158" s="113">
        <v>0</v>
      </c>
      <c r="R158" s="33">
        <v>2000</v>
      </c>
      <c r="S158" s="73">
        <f>P158-R158</f>
        <v>0</v>
      </c>
      <c r="T158" s="67" t="s">
        <v>222</v>
      </c>
      <c r="U158" s="6"/>
      <c r="V158" s="7"/>
      <c r="W158" s="8"/>
      <c r="X158" s="8"/>
      <c r="Y158" s="8"/>
      <c r="Z158" s="8"/>
      <c r="AA158" s="8"/>
    </row>
    <row r="159" spans="1:27" ht="19.149999999999999" customHeight="1" x14ac:dyDescent="0.25">
      <c r="A159" s="2"/>
      <c r="B159" s="30"/>
      <c r="C159" s="2"/>
      <c r="D159" s="2"/>
      <c r="E159" s="36" t="s">
        <v>29</v>
      </c>
      <c r="F159" s="2"/>
      <c r="G159" s="37" t="s">
        <v>223</v>
      </c>
      <c r="H159" s="30"/>
      <c r="I159" s="30"/>
      <c r="J159" s="30"/>
      <c r="K159" s="43">
        <v>41549</v>
      </c>
      <c r="L159" s="51"/>
      <c r="M159" s="65" t="s">
        <v>224</v>
      </c>
      <c r="N159" s="51"/>
      <c r="O159" s="51"/>
      <c r="P159" s="33"/>
      <c r="Q159" s="113"/>
      <c r="R159" s="33"/>
      <c r="S159" s="6"/>
      <c r="T159" s="114"/>
      <c r="U159" s="6"/>
      <c r="V159" s="7"/>
      <c r="W159" s="8"/>
      <c r="X159" s="8"/>
      <c r="Y159" s="8"/>
      <c r="Z159" s="8"/>
      <c r="AA159" s="8"/>
    </row>
    <row r="160" spans="1:27" ht="19.149999999999999" customHeight="1" x14ac:dyDescent="0.25">
      <c r="A160" s="2"/>
      <c r="B160" s="30"/>
      <c r="C160" s="2"/>
      <c r="D160" s="2"/>
      <c r="E160" s="2"/>
      <c r="F160" s="2"/>
      <c r="G160" s="37" t="s">
        <v>225</v>
      </c>
      <c r="H160" s="30"/>
      <c r="I160" s="30"/>
      <c r="J160" s="30"/>
      <c r="K160" s="30"/>
      <c r="L160" s="39"/>
      <c r="M160" s="36" t="s">
        <v>226</v>
      </c>
      <c r="N160" s="39"/>
      <c r="O160" s="39"/>
      <c r="P160" s="33"/>
      <c r="Q160" s="113"/>
      <c r="R160" s="33"/>
      <c r="S160" s="6"/>
      <c r="T160" s="80"/>
      <c r="U160" s="6"/>
      <c r="V160" s="7"/>
      <c r="W160" s="8"/>
      <c r="X160" s="8"/>
      <c r="Y160" s="8"/>
      <c r="Z160" s="8"/>
      <c r="AA160" s="8"/>
    </row>
    <row r="161" spans="1:27" ht="19.149999999999999" customHeight="1" x14ac:dyDescent="0.25">
      <c r="A161" s="2"/>
      <c r="B161" s="30"/>
      <c r="C161" s="2"/>
      <c r="D161" s="2"/>
      <c r="E161" s="2"/>
      <c r="F161" s="2"/>
      <c r="G161" s="37" t="s">
        <v>227</v>
      </c>
      <c r="H161" s="30"/>
      <c r="I161" s="30"/>
      <c r="J161" s="30"/>
      <c r="K161" s="30"/>
      <c r="L161" s="39"/>
      <c r="M161" s="36" t="s">
        <v>228</v>
      </c>
      <c r="N161" s="39"/>
      <c r="O161" s="39"/>
      <c r="P161" s="33"/>
      <c r="Q161" s="113"/>
      <c r="R161" s="33"/>
      <c r="S161" s="6"/>
      <c r="T161" s="115"/>
      <c r="U161" s="6"/>
      <c r="V161" s="7"/>
      <c r="W161" s="8"/>
      <c r="X161" s="8"/>
      <c r="Y161" s="8"/>
      <c r="Z161" s="8"/>
      <c r="AA161" s="8"/>
    </row>
    <row r="162" spans="1:27" ht="19.149999999999999" customHeight="1" x14ac:dyDescent="0.25">
      <c r="A162" s="2"/>
      <c r="B162" s="30"/>
      <c r="C162" s="2"/>
      <c r="D162" s="2"/>
      <c r="E162" s="2"/>
      <c r="F162" s="2"/>
      <c r="G162" s="37" t="s">
        <v>229</v>
      </c>
      <c r="H162" s="30"/>
      <c r="I162" s="30"/>
      <c r="J162" s="30"/>
      <c r="K162" s="30"/>
      <c r="L162" s="39"/>
      <c r="M162" s="116"/>
      <c r="N162" s="39"/>
      <c r="O162" s="39"/>
      <c r="P162" s="33"/>
      <c r="Q162" s="113"/>
      <c r="R162" s="33"/>
      <c r="S162" s="6"/>
      <c r="T162" s="114"/>
      <c r="U162" s="6"/>
      <c r="V162" s="7"/>
      <c r="W162" s="8"/>
      <c r="X162" s="8"/>
      <c r="Y162" s="8"/>
      <c r="Z162" s="8"/>
      <c r="AA162" s="8"/>
    </row>
    <row r="163" spans="1:27" ht="19.149999999999999" customHeight="1" x14ac:dyDescent="0.25">
      <c r="A163" s="2"/>
      <c r="B163" s="2"/>
      <c r="C163" s="2"/>
      <c r="D163" s="2"/>
      <c r="E163" s="2"/>
      <c r="F163" s="2"/>
      <c r="G163" s="37" t="s">
        <v>230</v>
      </c>
      <c r="H163" s="30"/>
      <c r="I163" s="30"/>
      <c r="J163" s="30"/>
      <c r="K163" s="30"/>
      <c r="L163" s="39"/>
      <c r="M163" s="6"/>
      <c r="N163" s="39"/>
      <c r="O163" s="39"/>
      <c r="P163" s="33"/>
      <c r="Q163" s="112"/>
      <c r="R163" s="33"/>
      <c r="S163" s="6"/>
      <c r="T163" s="99"/>
      <c r="U163" s="6"/>
      <c r="V163" s="7"/>
      <c r="W163" s="8"/>
      <c r="X163" s="8"/>
      <c r="Y163" s="8"/>
      <c r="Z163" s="8"/>
      <c r="AA163" s="8"/>
    </row>
    <row r="164" spans="1:27" ht="19.149999999999999" customHeight="1" x14ac:dyDescent="0.25">
      <c r="A164" s="2"/>
      <c r="B164" s="2"/>
      <c r="C164" s="2"/>
      <c r="D164" s="2"/>
      <c r="E164" s="2"/>
      <c r="F164" s="2"/>
      <c r="G164" s="2"/>
      <c r="H164" s="30"/>
      <c r="I164" s="30"/>
      <c r="J164" s="30"/>
      <c r="K164" s="30"/>
      <c r="L164" s="39"/>
      <c r="M164" s="6"/>
      <c r="N164" s="39"/>
      <c r="O164" s="39"/>
      <c r="P164" s="33"/>
      <c r="Q164" s="112"/>
      <c r="R164" s="71"/>
      <c r="S164" s="6"/>
      <c r="T164" s="99"/>
      <c r="U164" s="2"/>
      <c r="V164" s="2"/>
      <c r="W164" s="8"/>
      <c r="X164" s="8"/>
      <c r="Y164" s="8"/>
      <c r="Z164" s="8"/>
      <c r="AA164" s="8"/>
    </row>
    <row r="165" spans="1:27" ht="19.149999999999999" customHeight="1" x14ac:dyDescent="0.25">
      <c r="A165" s="34" t="s">
        <v>231</v>
      </c>
      <c r="B165" s="35" t="s">
        <v>218</v>
      </c>
      <c r="C165" s="2"/>
      <c r="D165" s="2"/>
      <c r="E165" s="37" t="s">
        <v>232</v>
      </c>
      <c r="F165" s="2"/>
      <c r="G165" s="37" t="s">
        <v>233</v>
      </c>
      <c r="H165" s="35" t="s">
        <v>220</v>
      </c>
      <c r="I165" s="35">
        <v>2601816</v>
      </c>
      <c r="J165" s="30">
        <v>2701095</v>
      </c>
      <c r="K165" s="35">
        <v>76291922</v>
      </c>
      <c r="L165" s="39">
        <v>1816</v>
      </c>
      <c r="M165" s="36" t="s">
        <v>86</v>
      </c>
      <c r="N165" s="39">
        <v>200</v>
      </c>
      <c r="O165" s="39">
        <v>1</v>
      </c>
      <c r="P165" s="33">
        <f>N165*O165</f>
        <v>200</v>
      </c>
      <c r="Q165" s="112">
        <v>0</v>
      </c>
      <c r="R165" s="33">
        <v>200</v>
      </c>
      <c r="S165" s="6">
        <f>P165-R165</f>
        <v>0</v>
      </c>
      <c r="T165" s="73"/>
      <c r="U165" s="6"/>
      <c r="V165" s="7"/>
      <c r="W165" s="8"/>
      <c r="X165" s="8"/>
      <c r="Y165" s="8"/>
      <c r="Z165" s="8"/>
      <c r="AA165" s="8"/>
    </row>
    <row r="166" spans="1:27" ht="19.149999999999999" customHeight="1" x14ac:dyDescent="0.25">
      <c r="A166" s="2"/>
      <c r="B166" s="30"/>
      <c r="C166" s="2"/>
      <c r="D166" s="2"/>
      <c r="E166" s="37" t="s">
        <v>234</v>
      </c>
      <c r="F166" s="2"/>
      <c r="G166" s="37" t="s">
        <v>37</v>
      </c>
      <c r="H166" s="30"/>
      <c r="I166" s="30"/>
      <c r="J166" s="30"/>
      <c r="K166" s="43">
        <v>41549</v>
      </c>
      <c r="L166" s="51"/>
      <c r="M166" s="37" t="s">
        <v>235</v>
      </c>
      <c r="N166" s="51"/>
      <c r="O166" s="93"/>
      <c r="P166" s="70"/>
      <c r="Q166" s="112"/>
      <c r="R166" s="33"/>
      <c r="S166" s="6"/>
      <c r="T166" s="73"/>
      <c r="U166" s="6"/>
      <c r="V166" s="7"/>
      <c r="W166" s="8"/>
      <c r="X166" s="8"/>
      <c r="Y166" s="8"/>
      <c r="Z166" s="8"/>
      <c r="AA166" s="8"/>
    </row>
    <row r="167" spans="1:27" ht="19.149999999999999" customHeight="1" x14ac:dyDescent="0.25">
      <c r="A167" s="2"/>
      <c r="B167" s="30"/>
      <c r="C167" s="2"/>
      <c r="D167" s="2"/>
      <c r="E167" s="2"/>
      <c r="F167" s="2"/>
      <c r="G167" s="37" t="s">
        <v>38</v>
      </c>
      <c r="H167" s="30"/>
      <c r="I167" s="30"/>
      <c r="J167" s="30"/>
      <c r="K167" s="30"/>
      <c r="L167" s="39"/>
      <c r="M167" s="37" t="s">
        <v>236</v>
      </c>
      <c r="N167" s="39"/>
      <c r="O167" s="39"/>
      <c r="P167" s="33"/>
      <c r="Q167" s="112"/>
      <c r="R167" s="33"/>
      <c r="S167" s="6"/>
      <c r="T167" s="73"/>
      <c r="U167" s="6"/>
      <c r="V167" s="7"/>
      <c r="W167" s="8"/>
      <c r="X167" s="8"/>
      <c r="Y167" s="8"/>
      <c r="Z167" s="8"/>
      <c r="AA167" s="8"/>
    </row>
    <row r="168" spans="1:27" ht="19.149999999999999" customHeight="1" x14ac:dyDescent="0.25">
      <c r="A168" s="2"/>
      <c r="B168" s="30"/>
      <c r="C168" s="2"/>
      <c r="D168" s="2"/>
      <c r="E168" s="2"/>
      <c r="F168" s="2"/>
      <c r="G168" s="37" t="s">
        <v>39</v>
      </c>
      <c r="H168" s="30"/>
      <c r="I168" s="30"/>
      <c r="J168" s="30"/>
      <c r="K168" s="30"/>
      <c r="L168" s="39"/>
      <c r="M168" s="2"/>
      <c r="N168" s="39"/>
      <c r="O168" s="39"/>
      <c r="P168" s="33"/>
      <c r="Q168" s="112"/>
      <c r="R168" s="33"/>
      <c r="S168" s="6"/>
      <c r="T168" s="73"/>
      <c r="U168" s="6"/>
      <c r="V168" s="7"/>
      <c r="W168" s="8"/>
      <c r="X168" s="8"/>
      <c r="Y168" s="8"/>
      <c r="Z168" s="8"/>
      <c r="AA168" s="8"/>
    </row>
    <row r="169" spans="1:27" ht="19.149999999999999" customHeight="1" x14ac:dyDescent="0.25">
      <c r="A169" s="2"/>
      <c r="B169" s="30"/>
      <c r="C169" s="2"/>
      <c r="D169" s="2"/>
      <c r="E169" s="2"/>
      <c r="F169" s="2"/>
      <c r="G169" s="65" t="s">
        <v>237</v>
      </c>
      <c r="H169" s="30"/>
      <c r="I169" s="30"/>
      <c r="J169" s="30"/>
      <c r="K169" s="30"/>
      <c r="L169" s="39"/>
      <c r="M169" s="2"/>
      <c r="N169" s="39"/>
      <c r="O169" s="39"/>
      <c r="P169" s="33"/>
      <c r="Q169" s="112"/>
      <c r="R169" s="33"/>
      <c r="S169" s="6"/>
      <c r="T169" s="73"/>
      <c r="U169" s="6"/>
      <c r="V169" s="7"/>
      <c r="W169" s="8"/>
      <c r="X169" s="8"/>
      <c r="Y169" s="8"/>
      <c r="Z169" s="8"/>
      <c r="AA169" s="8"/>
    </row>
    <row r="170" spans="1:27" ht="19.149999999999999" customHeight="1" x14ac:dyDescent="0.25">
      <c r="A170" s="2"/>
      <c r="B170" s="2"/>
      <c r="C170" s="2"/>
      <c r="D170" s="2"/>
      <c r="E170" s="2"/>
      <c r="F170" s="2"/>
      <c r="G170" s="2"/>
      <c r="H170" s="30"/>
      <c r="I170" s="30"/>
      <c r="J170" s="30"/>
      <c r="K170" s="30"/>
      <c r="L170" s="39"/>
      <c r="M170" s="2"/>
      <c r="N170" s="39"/>
      <c r="O170" s="39"/>
      <c r="P170" s="33"/>
      <c r="Q170" s="112"/>
      <c r="R170" s="33"/>
      <c r="S170" s="6"/>
      <c r="T170" s="73"/>
      <c r="U170" s="6"/>
      <c r="V170" s="7"/>
      <c r="W170" s="8"/>
      <c r="X170" s="8"/>
      <c r="Y170" s="8"/>
      <c r="Z170" s="8"/>
      <c r="AA170" s="8"/>
    </row>
    <row r="171" spans="1:27" ht="19.149999999999999" customHeight="1" x14ac:dyDescent="0.25">
      <c r="A171" s="34" t="s">
        <v>238</v>
      </c>
      <c r="B171" s="35" t="s">
        <v>218</v>
      </c>
      <c r="C171" s="2"/>
      <c r="D171" s="2"/>
      <c r="E171" s="37" t="s">
        <v>239</v>
      </c>
      <c r="F171" s="2"/>
      <c r="G171" s="37" t="s">
        <v>240</v>
      </c>
      <c r="H171" s="35" t="s">
        <v>220</v>
      </c>
      <c r="I171" s="35">
        <v>2601817</v>
      </c>
      <c r="J171" s="30">
        <v>2701096</v>
      </c>
      <c r="K171" s="35">
        <v>76291924</v>
      </c>
      <c r="L171" s="39">
        <v>1495</v>
      </c>
      <c r="M171" s="36" t="s">
        <v>42</v>
      </c>
      <c r="N171" s="39">
        <v>50</v>
      </c>
      <c r="O171" s="39">
        <v>1000</v>
      </c>
      <c r="P171" s="53">
        <f>(L171/O171)*N171</f>
        <v>74.75</v>
      </c>
      <c r="Q171" s="112">
        <v>0</v>
      </c>
      <c r="R171" s="33">
        <v>75</v>
      </c>
      <c r="S171" s="6">
        <f>P171-R171</f>
        <v>-0.25</v>
      </c>
      <c r="T171" s="73"/>
      <c r="U171" s="6"/>
      <c r="V171" s="7"/>
      <c r="W171" s="8"/>
      <c r="X171" s="8"/>
      <c r="Y171" s="8"/>
      <c r="Z171" s="8"/>
      <c r="AA171" s="8"/>
    </row>
    <row r="172" spans="1:27" ht="19.149999999999999" customHeight="1" x14ac:dyDescent="0.25">
      <c r="A172" s="2"/>
      <c r="B172" s="30"/>
      <c r="C172" s="2"/>
      <c r="D172" s="2"/>
      <c r="E172" s="37" t="s">
        <v>241</v>
      </c>
      <c r="F172" s="2"/>
      <c r="G172" s="37" t="s">
        <v>242</v>
      </c>
      <c r="H172" s="30"/>
      <c r="I172" s="30"/>
      <c r="J172" s="30"/>
      <c r="K172" s="43">
        <v>41549</v>
      </c>
      <c r="L172" s="51"/>
      <c r="M172" s="50"/>
      <c r="N172" s="51"/>
      <c r="O172" s="51"/>
      <c r="P172" s="61"/>
      <c r="Q172" s="117"/>
      <c r="R172" s="33"/>
      <c r="S172" s="6"/>
      <c r="T172" s="73"/>
      <c r="U172" s="6"/>
      <c r="V172" s="7"/>
      <c r="W172" s="8"/>
      <c r="X172" s="8"/>
      <c r="Y172" s="8"/>
      <c r="Z172" s="8"/>
      <c r="AA172" s="8"/>
    </row>
    <row r="173" spans="1:27" ht="19.149999999999999" customHeight="1" x14ac:dyDescent="0.25">
      <c r="A173" s="2"/>
      <c r="B173" s="30"/>
      <c r="C173" s="2"/>
      <c r="D173" s="2"/>
      <c r="E173" s="2"/>
      <c r="F173" s="2"/>
      <c r="G173" s="37" t="s">
        <v>243</v>
      </c>
      <c r="H173" s="30"/>
      <c r="I173" s="30"/>
      <c r="J173" s="30"/>
      <c r="K173" s="30"/>
      <c r="L173" s="39"/>
      <c r="M173" s="2"/>
      <c r="N173" s="39"/>
      <c r="O173" s="39"/>
      <c r="P173" s="33"/>
      <c r="Q173" s="117"/>
      <c r="R173" s="33"/>
      <c r="S173" s="6"/>
      <c r="T173" s="73"/>
      <c r="U173" s="6"/>
      <c r="V173" s="7"/>
      <c r="W173" s="8"/>
      <c r="X173" s="8"/>
      <c r="Y173" s="8"/>
      <c r="Z173" s="8"/>
      <c r="AA173" s="8"/>
    </row>
    <row r="174" spans="1:27" ht="19.149999999999999" customHeight="1" x14ac:dyDescent="0.25">
      <c r="A174" s="2"/>
      <c r="B174" s="30"/>
      <c r="C174" s="2"/>
      <c r="D174" s="2"/>
      <c r="E174" s="2"/>
      <c r="F174" s="2"/>
      <c r="G174" s="37" t="s">
        <v>244</v>
      </c>
      <c r="H174" s="30"/>
      <c r="I174" s="30"/>
      <c r="J174" s="30"/>
      <c r="K174" s="30"/>
      <c r="L174" s="39"/>
      <c r="M174" s="50"/>
      <c r="N174" s="39"/>
      <c r="O174" s="39"/>
      <c r="P174" s="33"/>
      <c r="Q174" s="112"/>
      <c r="R174" s="33"/>
      <c r="S174" s="6"/>
      <c r="T174" s="73"/>
      <c r="U174" s="6"/>
      <c r="V174" s="7"/>
      <c r="W174" s="8"/>
      <c r="X174" s="8"/>
      <c r="Y174" s="8"/>
      <c r="Z174" s="8"/>
      <c r="AA174" s="8"/>
    </row>
    <row r="175" spans="1:27" ht="19.149999999999999" customHeight="1" x14ac:dyDescent="0.25">
      <c r="A175" s="2"/>
      <c r="B175" s="30"/>
      <c r="C175" s="2"/>
      <c r="D175" s="2"/>
      <c r="E175" s="2"/>
      <c r="F175" s="2"/>
      <c r="G175" s="37" t="s">
        <v>245</v>
      </c>
      <c r="H175" s="30"/>
      <c r="I175" s="30"/>
      <c r="J175" s="30"/>
      <c r="K175" s="30"/>
      <c r="L175" s="38">
        <v>215</v>
      </c>
      <c r="M175" s="8"/>
      <c r="N175" s="39"/>
      <c r="O175" s="39"/>
      <c r="P175" s="53"/>
      <c r="Q175" s="118"/>
      <c r="R175" s="53"/>
      <c r="S175" s="14"/>
      <c r="T175" s="80"/>
      <c r="U175" s="6"/>
      <c r="V175" s="7"/>
      <c r="W175" s="8"/>
      <c r="X175" s="8"/>
      <c r="Y175" s="8"/>
      <c r="Z175" s="8"/>
      <c r="AA175" s="8"/>
    </row>
    <row r="176" spans="1:27" ht="19.149999999999999" customHeight="1" x14ac:dyDescent="0.25">
      <c r="A176" s="2"/>
      <c r="B176" s="30"/>
      <c r="C176" s="2"/>
      <c r="D176" s="2"/>
      <c r="E176" s="2"/>
      <c r="F176" s="2"/>
      <c r="G176" s="6"/>
      <c r="H176" s="30"/>
      <c r="I176" s="30"/>
      <c r="J176" s="30"/>
      <c r="K176" s="30"/>
      <c r="L176" s="76">
        <f>SUM(L158:L175)</f>
        <v>18526</v>
      </c>
      <c r="M176" s="34" t="s">
        <v>246</v>
      </c>
      <c r="N176" s="39"/>
      <c r="O176" s="39"/>
      <c r="P176" s="91">
        <f>SUM(P158:P175)</f>
        <v>2274.75</v>
      </c>
      <c r="Q176" s="119">
        <f>SUM(Q158:Q175)</f>
        <v>0</v>
      </c>
      <c r="R176" s="91">
        <f>SUM(R158:R175)</f>
        <v>2275</v>
      </c>
      <c r="S176" s="91">
        <f>SUM(S158:S175)</f>
        <v>-0.25</v>
      </c>
      <c r="T176" s="73"/>
      <c r="U176" s="6"/>
      <c r="V176" s="7"/>
      <c r="W176" s="8"/>
      <c r="X176" s="8"/>
      <c r="Y176" s="8"/>
      <c r="Z176" s="8"/>
      <c r="AA176" s="8"/>
    </row>
    <row r="177" spans="1:27" ht="19.149999999999999" customHeight="1" x14ac:dyDescent="0.25">
      <c r="A177" s="2"/>
      <c r="B177" s="2"/>
      <c r="C177" s="6"/>
      <c r="D177" s="2"/>
      <c r="E177" s="2"/>
      <c r="F177" s="2"/>
      <c r="G177" s="2"/>
      <c r="H177" s="30"/>
      <c r="I177" s="2"/>
      <c r="J177" s="30"/>
      <c r="K177" s="30"/>
      <c r="L177" s="25"/>
      <c r="M177" s="6"/>
      <c r="N177" s="39"/>
      <c r="O177" s="39"/>
      <c r="P177" s="44"/>
      <c r="Q177" s="120"/>
      <c r="R177" s="44"/>
      <c r="S177" s="27"/>
      <c r="T177" s="73"/>
      <c r="U177" s="6"/>
      <c r="V177" s="7"/>
      <c r="W177" s="8"/>
      <c r="X177" s="8"/>
      <c r="Y177" s="8"/>
      <c r="Z177" s="8"/>
      <c r="AA177" s="8"/>
    </row>
    <row r="178" spans="1:27" ht="19.149999999999999" customHeight="1" x14ac:dyDescent="0.25">
      <c r="A178" s="2"/>
      <c r="B178" s="35" t="s">
        <v>247</v>
      </c>
      <c r="C178" s="2"/>
      <c r="D178" s="2"/>
      <c r="E178" s="2"/>
      <c r="F178" s="2"/>
      <c r="G178" s="37" t="s">
        <v>248</v>
      </c>
      <c r="H178" s="35" t="s">
        <v>220</v>
      </c>
      <c r="I178" s="2"/>
      <c r="J178" s="30"/>
      <c r="K178" s="30"/>
      <c r="L178" s="39"/>
      <c r="M178" s="2"/>
      <c r="N178" s="39"/>
      <c r="O178" s="39"/>
      <c r="P178" s="33"/>
      <c r="Q178" s="112"/>
      <c r="R178" s="33"/>
      <c r="S178" s="6"/>
      <c r="T178" s="73"/>
      <c r="U178" s="6"/>
      <c r="V178" s="7"/>
      <c r="W178" s="8"/>
      <c r="X178" s="8"/>
      <c r="Y178" s="8"/>
      <c r="Z178" s="8"/>
      <c r="AA178" s="8"/>
    </row>
    <row r="179" spans="1:27" ht="19.149999999999999" customHeight="1" x14ac:dyDescent="0.25">
      <c r="A179" s="2"/>
      <c r="B179" s="30"/>
      <c r="C179" s="2"/>
      <c r="D179" s="2"/>
      <c r="E179" s="2"/>
      <c r="F179" s="2"/>
      <c r="G179" s="37" t="s">
        <v>37</v>
      </c>
      <c r="H179" s="30"/>
      <c r="I179" s="2"/>
      <c r="J179" s="30"/>
      <c r="K179" s="30"/>
      <c r="L179" s="30"/>
      <c r="M179" s="2"/>
      <c r="N179" s="39"/>
      <c r="O179" s="39"/>
      <c r="P179" s="33"/>
      <c r="Q179" s="112"/>
      <c r="R179" s="33"/>
      <c r="S179" s="6"/>
      <c r="T179" s="73"/>
      <c r="U179" s="6"/>
      <c r="V179" s="7"/>
      <c r="W179" s="8"/>
      <c r="X179" s="8"/>
      <c r="Y179" s="8"/>
      <c r="Z179" s="8"/>
      <c r="AA179" s="8"/>
    </row>
    <row r="180" spans="1:27" ht="19.149999999999999" customHeight="1" x14ac:dyDescent="0.25">
      <c r="A180" s="2"/>
      <c r="B180" s="30"/>
      <c r="C180" s="2"/>
      <c r="D180" s="2"/>
      <c r="E180" s="2"/>
      <c r="F180" s="2"/>
      <c r="G180" s="37" t="s">
        <v>38</v>
      </c>
      <c r="H180" s="30"/>
      <c r="I180" s="30"/>
      <c r="J180" s="30"/>
      <c r="K180" s="30"/>
      <c r="L180" s="121"/>
      <c r="M180" s="2"/>
      <c r="N180" s="39"/>
      <c r="O180" s="39"/>
      <c r="P180" s="33"/>
      <c r="Q180" s="112"/>
      <c r="R180" s="33"/>
      <c r="S180" s="6"/>
      <c r="T180" s="73"/>
      <c r="U180" s="6"/>
      <c r="V180" s="7"/>
      <c r="W180" s="8"/>
      <c r="X180" s="8"/>
      <c r="Y180" s="8"/>
      <c r="Z180" s="8"/>
      <c r="AA180" s="8"/>
    </row>
    <row r="181" spans="1:27" ht="19.149999999999999" customHeight="1" x14ac:dyDescent="0.25">
      <c r="A181" s="2"/>
      <c r="B181" s="30"/>
      <c r="C181" s="2"/>
      <c r="D181" s="2"/>
      <c r="E181" s="2"/>
      <c r="F181" s="2"/>
      <c r="G181" s="37" t="s">
        <v>39</v>
      </c>
      <c r="H181" s="30"/>
      <c r="I181" s="30"/>
      <c r="J181" s="30"/>
      <c r="K181" s="30"/>
      <c r="L181" s="51"/>
      <c r="M181" s="2"/>
      <c r="N181" s="39"/>
      <c r="O181" s="39"/>
      <c r="P181" s="33"/>
      <c r="Q181" s="112"/>
      <c r="R181" s="33"/>
      <c r="S181" s="6"/>
      <c r="T181" s="73"/>
      <c r="U181" s="6"/>
      <c r="V181" s="7"/>
      <c r="W181" s="8"/>
      <c r="X181" s="8"/>
      <c r="Y181" s="8"/>
      <c r="Z181" s="8"/>
      <c r="AA181" s="8"/>
    </row>
    <row r="182" spans="1:27" ht="19.149999999999999" customHeight="1" x14ac:dyDescent="0.25">
      <c r="A182" s="37" t="s">
        <v>249</v>
      </c>
      <c r="B182" s="35" t="s">
        <v>250</v>
      </c>
      <c r="C182" s="2"/>
      <c r="D182" s="2"/>
      <c r="E182" s="37" t="s">
        <v>251</v>
      </c>
      <c r="F182" s="2"/>
      <c r="G182" s="37" t="s">
        <v>51</v>
      </c>
      <c r="H182" s="35" t="s">
        <v>220</v>
      </c>
      <c r="I182" s="35">
        <v>2601778</v>
      </c>
      <c r="J182" s="30">
        <v>2701103</v>
      </c>
      <c r="K182" s="35">
        <v>75156560</v>
      </c>
      <c r="L182" s="39">
        <v>3150</v>
      </c>
      <c r="M182" s="36" t="s">
        <v>42</v>
      </c>
      <c r="N182" s="39">
        <v>50</v>
      </c>
      <c r="O182" s="39">
        <v>1000</v>
      </c>
      <c r="P182" s="33">
        <f>(L182/O182)*N182</f>
        <v>157.5</v>
      </c>
      <c r="Q182" s="112"/>
      <c r="R182" s="33">
        <f>+P182</f>
        <v>157.5</v>
      </c>
      <c r="S182" s="6">
        <f>P182-R182</f>
        <v>0</v>
      </c>
      <c r="T182" s="73"/>
      <c r="U182" s="6"/>
      <c r="V182" s="7"/>
      <c r="W182" s="8"/>
      <c r="X182" s="8"/>
      <c r="Y182" s="8"/>
      <c r="Z182" s="8"/>
      <c r="AA182" s="8"/>
    </row>
    <row r="183" spans="1:27" ht="19.149999999999999" customHeight="1" x14ac:dyDescent="0.25">
      <c r="A183" s="2"/>
      <c r="B183" s="30"/>
      <c r="C183" s="2"/>
      <c r="D183" s="2"/>
      <c r="E183" s="6"/>
      <c r="F183" s="2"/>
      <c r="G183" s="6"/>
      <c r="H183" s="30"/>
      <c r="I183" s="30"/>
      <c r="J183" s="30"/>
      <c r="K183" s="43">
        <v>42205</v>
      </c>
      <c r="L183" s="51"/>
      <c r="M183" s="2"/>
      <c r="N183" s="39"/>
      <c r="O183" s="39"/>
      <c r="P183" s="33"/>
      <c r="Q183" s="112"/>
      <c r="R183" s="33"/>
      <c r="S183" s="6"/>
      <c r="T183" s="73"/>
      <c r="U183" s="6"/>
      <c r="V183" s="7"/>
      <c r="W183" s="8"/>
      <c r="X183" s="8"/>
      <c r="Y183" s="8"/>
      <c r="Z183" s="8"/>
      <c r="AA183" s="8"/>
    </row>
    <row r="184" spans="1:27" ht="19.149999999999999" customHeight="1" x14ac:dyDescent="0.25">
      <c r="A184" s="37" t="s">
        <v>252</v>
      </c>
      <c r="B184" s="35" t="s">
        <v>250</v>
      </c>
      <c r="C184" s="2"/>
      <c r="D184" s="2"/>
      <c r="E184" s="37" t="s">
        <v>253</v>
      </c>
      <c r="F184" s="2"/>
      <c r="G184" s="37" t="s">
        <v>51</v>
      </c>
      <c r="H184" s="35" t="s">
        <v>220</v>
      </c>
      <c r="I184" s="35">
        <v>2601779</v>
      </c>
      <c r="J184" s="30">
        <v>2701104</v>
      </c>
      <c r="K184" s="35">
        <v>75156563</v>
      </c>
      <c r="L184" s="39">
        <v>1430</v>
      </c>
      <c r="M184" s="36" t="s">
        <v>42</v>
      </c>
      <c r="N184" s="39">
        <v>50</v>
      </c>
      <c r="O184" s="39">
        <v>1000</v>
      </c>
      <c r="P184" s="33">
        <f>(L184/O184)*N184</f>
        <v>71.5</v>
      </c>
      <c r="Q184" s="112"/>
      <c r="R184" s="33">
        <f>+P184</f>
        <v>71.5</v>
      </c>
      <c r="S184" s="6">
        <f>P184-R184</f>
        <v>0</v>
      </c>
      <c r="T184" s="73"/>
      <c r="U184" s="6"/>
      <c r="V184" s="7"/>
      <c r="W184" s="8"/>
      <c r="X184" s="8"/>
      <c r="Y184" s="8"/>
      <c r="Z184" s="8"/>
      <c r="AA184" s="8"/>
    </row>
    <row r="185" spans="1:27" ht="19.149999999999999" customHeight="1" x14ac:dyDescent="0.25">
      <c r="A185" s="2"/>
      <c r="B185" s="30"/>
      <c r="C185" s="2"/>
      <c r="D185" s="2"/>
      <c r="E185" s="6"/>
      <c r="F185" s="2"/>
      <c r="G185" s="6"/>
      <c r="H185" s="30"/>
      <c r="I185" s="30"/>
      <c r="J185" s="30"/>
      <c r="K185" s="43">
        <v>42205</v>
      </c>
      <c r="L185" s="51"/>
      <c r="M185" s="2"/>
      <c r="N185" s="39"/>
      <c r="O185" s="39"/>
      <c r="P185" s="33"/>
      <c r="Q185" s="112"/>
      <c r="R185" s="33"/>
      <c r="S185" s="6"/>
      <c r="T185" s="73"/>
      <c r="U185" s="6"/>
      <c r="V185" s="7"/>
      <c r="W185" s="8"/>
      <c r="X185" s="8"/>
      <c r="Y185" s="8"/>
      <c r="Z185" s="8"/>
      <c r="AA185" s="8"/>
    </row>
    <row r="186" spans="1:27" ht="19.149999999999999" customHeight="1" x14ac:dyDescent="0.25">
      <c r="A186" s="37" t="s">
        <v>254</v>
      </c>
      <c r="B186" s="35" t="s">
        <v>247</v>
      </c>
      <c r="C186" s="2"/>
      <c r="D186" s="2"/>
      <c r="E186" s="37" t="s">
        <v>255</v>
      </c>
      <c r="F186" s="2"/>
      <c r="G186" s="37" t="s">
        <v>256</v>
      </c>
      <c r="H186" s="35" t="s">
        <v>220</v>
      </c>
      <c r="I186" s="35">
        <v>2601780</v>
      </c>
      <c r="J186" s="30">
        <v>2701102</v>
      </c>
      <c r="K186" s="35">
        <v>75156562</v>
      </c>
      <c r="L186" s="39">
        <v>13000</v>
      </c>
      <c r="M186" s="36" t="s">
        <v>42</v>
      </c>
      <c r="N186" s="39">
        <v>50</v>
      </c>
      <c r="O186" s="39">
        <v>1000</v>
      </c>
      <c r="P186" s="33">
        <f>(L186/O186)*N186</f>
        <v>650</v>
      </c>
      <c r="Q186" s="112"/>
      <c r="R186" s="33">
        <v>650</v>
      </c>
      <c r="S186" s="6">
        <f>P186-R186</f>
        <v>0</v>
      </c>
      <c r="T186" s="73"/>
      <c r="U186" s="6"/>
      <c r="V186" s="7"/>
      <c r="W186" s="8"/>
      <c r="X186" s="8"/>
      <c r="Y186" s="8"/>
      <c r="Z186" s="8"/>
      <c r="AA186" s="8"/>
    </row>
    <row r="187" spans="1:27" ht="19.149999999999999" customHeight="1" x14ac:dyDescent="0.25">
      <c r="A187" s="2"/>
      <c r="B187" s="30"/>
      <c r="C187" s="2"/>
      <c r="D187" s="2"/>
      <c r="E187" s="6"/>
      <c r="F187" s="2"/>
      <c r="G187" s="6"/>
      <c r="H187" s="30"/>
      <c r="I187" s="2"/>
      <c r="J187" s="30"/>
      <c r="K187" s="43">
        <v>42205</v>
      </c>
      <c r="L187" s="51"/>
      <c r="M187" s="6"/>
      <c r="N187" s="39"/>
      <c r="O187" s="39"/>
      <c r="P187" s="33"/>
      <c r="Q187" s="112"/>
      <c r="R187" s="33"/>
      <c r="S187" s="6"/>
      <c r="T187" s="73"/>
      <c r="U187" s="6"/>
      <c r="V187" s="7"/>
      <c r="W187" s="8"/>
      <c r="X187" s="8"/>
      <c r="Y187" s="8"/>
      <c r="Z187" s="8"/>
      <c r="AA187" s="8"/>
    </row>
    <row r="188" spans="1:27" ht="19.149999999999999" customHeight="1" x14ac:dyDescent="0.25">
      <c r="A188" s="37" t="s">
        <v>257</v>
      </c>
      <c r="B188" s="35" t="s">
        <v>247</v>
      </c>
      <c r="C188" s="2"/>
      <c r="D188" s="2"/>
      <c r="E188" s="37" t="s">
        <v>258</v>
      </c>
      <c r="F188" s="2"/>
      <c r="G188" s="37" t="s">
        <v>259</v>
      </c>
      <c r="H188" s="35" t="s">
        <v>220</v>
      </c>
      <c r="I188" s="35">
        <v>2601781</v>
      </c>
      <c r="J188" s="30">
        <v>2701105</v>
      </c>
      <c r="K188" s="35">
        <v>75156559</v>
      </c>
      <c r="L188" s="39">
        <v>2000</v>
      </c>
      <c r="M188" s="36" t="s">
        <v>42</v>
      </c>
      <c r="N188" s="39">
        <v>50</v>
      </c>
      <c r="O188" s="39">
        <v>1000</v>
      </c>
      <c r="P188" s="33">
        <f>(L188/O188)*N188</f>
        <v>100</v>
      </c>
      <c r="Q188" s="112"/>
      <c r="R188" s="33">
        <v>100</v>
      </c>
      <c r="S188" s="6">
        <f>P188-R188</f>
        <v>0</v>
      </c>
      <c r="T188" s="73"/>
      <c r="U188" s="6"/>
      <c r="V188" s="7"/>
      <c r="W188" s="8"/>
      <c r="X188" s="8"/>
      <c r="Y188" s="8"/>
      <c r="Z188" s="8"/>
      <c r="AA188" s="8"/>
    </row>
    <row r="189" spans="1:27" ht="19.149999999999999" customHeight="1" x14ac:dyDescent="0.25">
      <c r="A189" s="30"/>
      <c r="B189" s="2"/>
      <c r="C189" s="6"/>
      <c r="D189" s="2"/>
      <c r="E189" s="6"/>
      <c r="F189" s="2"/>
      <c r="G189" s="6"/>
      <c r="H189" s="30"/>
      <c r="I189" s="30"/>
      <c r="J189" s="30"/>
      <c r="K189" s="43">
        <v>42205</v>
      </c>
      <c r="L189" s="39"/>
      <c r="M189" s="2"/>
      <c r="N189" s="39"/>
      <c r="O189" s="39"/>
      <c r="P189" s="33"/>
      <c r="Q189" s="112"/>
      <c r="R189" s="33"/>
      <c r="S189" s="6"/>
      <c r="T189" s="73"/>
      <c r="U189" s="6"/>
      <c r="V189" s="7"/>
      <c r="W189" s="8"/>
      <c r="X189" s="8"/>
      <c r="Y189" s="8"/>
      <c r="Z189" s="8"/>
      <c r="AA189" s="8"/>
    </row>
    <row r="190" spans="1:27" ht="19.149999999999999" customHeight="1" x14ac:dyDescent="0.25">
      <c r="A190" s="37" t="s">
        <v>260</v>
      </c>
      <c r="B190" s="35" t="s">
        <v>250</v>
      </c>
      <c r="C190" s="2"/>
      <c r="D190" s="2"/>
      <c r="E190" s="37" t="s">
        <v>261</v>
      </c>
      <c r="F190" s="2"/>
      <c r="G190" s="65" t="s">
        <v>262</v>
      </c>
      <c r="H190" s="35" t="s">
        <v>220</v>
      </c>
      <c r="I190" s="35">
        <v>2601782</v>
      </c>
      <c r="J190" s="30">
        <v>2701106</v>
      </c>
      <c r="K190" s="35">
        <v>73900326</v>
      </c>
      <c r="L190" s="39">
        <v>3150</v>
      </c>
      <c r="M190" s="36" t="s">
        <v>163</v>
      </c>
      <c r="N190" s="39">
        <v>250</v>
      </c>
      <c r="O190" s="39">
        <v>1</v>
      </c>
      <c r="P190" s="33">
        <f>N190*O190</f>
        <v>250</v>
      </c>
      <c r="Q190" s="112"/>
      <c r="R190" s="33">
        <v>250</v>
      </c>
      <c r="S190" s="6">
        <f>P190-R190</f>
        <v>0</v>
      </c>
      <c r="T190" s="73"/>
      <c r="U190" s="6"/>
      <c r="V190" s="7"/>
      <c r="W190" s="8"/>
      <c r="X190" s="8"/>
      <c r="Y190" s="8"/>
      <c r="Z190" s="8"/>
      <c r="AA190" s="8"/>
    </row>
    <row r="191" spans="1:27" ht="19.149999999999999" customHeight="1" x14ac:dyDescent="0.25">
      <c r="A191" s="2"/>
      <c r="B191" s="30"/>
      <c r="C191" s="2"/>
      <c r="D191" s="2"/>
      <c r="E191" s="6"/>
      <c r="F191" s="2"/>
      <c r="G191" s="65" t="s">
        <v>263</v>
      </c>
      <c r="H191" s="30"/>
      <c r="I191" s="30"/>
      <c r="J191" s="30"/>
      <c r="K191" s="43">
        <v>42205</v>
      </c>
      <c r="L191" s="39"/>
      <c r="M191" s="37" t="s">
        <v>264</v>
      </c>
      <c r="N191" s="39"/>
      <c r="O191" s="39"/>
      <c r="P191" s="33"/>
      <c r="Q191" s="112"/>
      <c r="R191" s="33"/>
      <c r="S191" s="6"/>
      <c r="T191" s="73"/>
      <c r="U191" s="6"/>
      <c r="V191" s="7"/>
      <c r="W191" s="8"/>
      <c r="X191" s="8"/>
      <c r="Y191" s="8"/>
      <c r="Z191" s="8"/>
      <c r="AA191" s="8"/>
    </row>
    <row r="192" spans="1:27" ht="19.149999999999999" customHeight="1" x14ac:dyDescent="0.25">
      <c r="A192" s="2"/>
      <c r="B192" s="30"/>
      <c r="C192" s="2"/>
      <c r="D192" s="2"/>
      <c r="E192" s="6"/>
      <c r="F192" s="2"/>
      <c r="G192" s="6"/>
      <c r="H192" s="30"/>
      <c r="I192" s="7"/>
      <c r="J192" s="30"/>
      <c r="K192" s="43"/>
      <c r="L192" s="39"/>
      <c r="M192" s="55"/>
      <c r="N192" s="39"/>
      <c r="O192" s="39"/>
      <c r="P192" s="33"/>
      <c r="Q192" s="112"/>
      <c r="R192" s="33"/>
      <c r="S192" s="6"/>
      <c r="T192" s="72"/>
      <c r="U192" s="2"/>
      <c r="V192" s="2"/>
      <c r="W192" s="8"/>
      <c r="X192" s="8"/>
      <c r="Y192" s="8"/>
      <c r="Z192" s="8"/>
      <c r="AA192" s="8"/>
    </row>
    <row r="193" spans="1:27" ht="19.149999999999999" customHeight="1" x14ac:dyDescent="0.25">
      <c r="A193" s="2"/>
      <c r="B193" s="35" t="s">
        <v>247</v>
      </c>
      <c r="C193" s="2"/>
      <c r="D193" s="2"/>
      <c r="E193" s="36" t="s">
        <v>96</v>
      </c>
      <c r="F193" s="2"/>
      <c r="G193" s="37" t="s">
        <v>265</v>
      </c>
      <c r="H193" s="35" t="s">
        <v>220</v>
      </c>
      <c r="I193" s="35">
        <v>2601773</v>
      </c>
      <c r="J193" s="30"/>
      <c r="K193" s="35">
        <v>75156561</v>
      </c>
      <c r="L193" s="38">
        <v>200</v>
      </c>
      <c r="M193" s="8"/>
      <c r="N193" s="7"/>
      <c r="O193" s="7"/>
      <c r="P193" s="53"/>
      <c r="Q193" s="118"/>
      <c r="R193" s="53"/>
      <c r="S193" s="14"/>
      <c r="T193" s="80"/>
      <c r="U193" s="2"/>
      <c r="V193" s="2"/>
      <c r="W193" s="8"/>
      <c r="X193" s="8"/>
      <c r="Y193" s="8"/>
      <c r="Z193" s="8"/>
      <c r="AA193" s="8"/>
    </row>
    <row r="194" spans="1:27" ht="19.149999999999999" customHeight="1" x14ac:dyDescent="0.25">
      <c r="A194" s="2"/>
      <c r="B194" s="30"/>
      <c r="C194" s="2"/>
      <c r="D194" s="2"/>
      <c r="E194" s="46"/>
      <c r="F194" s="2"/>
      <c r="G194" s="6"/>
      <c r="H194" s="30"/>
      <c r="I194" s="30"/>
      <c r="J194" s="30"/>
      <c r="K194" s="30"/>
      <c r="L194" s="76">
        <f>SUM(L182:L193)</f>
        <v>22930</v>
      </c>
      <c r="M194" s="34" t="s">
        <v>266</v>
      </c>
      <c r="N194" s="7"/>
      <c r="O194" s="7"/>
      <c r="P194" s="91">
        <f>SUM(P182:P193)</f>
        <v>1229</v>
      </c>
      <c r="Q194" s="119">
        <f>SUM(Q182:Q193)</f>
        <v>0</v>
      </c>
      <c r="R194" s="91">
        <f>SUM(R182:R193)</f>
        <v>1229</v>
      </c>
      <c r="S194" s="91">
        <f>SUM(S182:S193)</f>
        <v>0</v>
      </c>
      <c r="T194" s="73"/>
      <c r="U194" s="2"/>
      <c r="V194" s="2"/>
      <c r="W194" s="8"/>
      <c r="X194" s="8"/>
      <c r="Y194" s="8"/>
      <c r="Z194" s="8"/>
      <c r="AA194" s="8"/>
    </row>
    <row r="195" spans="1:27" ht="19.149999999999999" customHeight="1" x14ac:dyDescent="0.25">
      <c r="A195" s="2"/>
      <c r="B195" s="30"/>
      <c r="C195" s="2"/>
      <c r="D195" s="2"/>
      <c r="E195" s="46"/>
      <c r="F195" s="2"/>
      <c r="G195" s="6"/>
      <c r="H195" s="30"/>
      <c r="I195" s="30"/>
      <c r="J195" s="30"/>
      <c r="K195" s="30"/>
      <c r="L195" s="58"/>
      <c r="M195" s="55"/>
      <c r="N195" s="7"/>
      <c r="O195" s="7"/>
      <c r="P195" s="44"/>
      <c r="Q195" s="120"/>
      <c r="R195" s="44"/>
      <c r="S195" s="27"/>
      <c r="T195" s="73"/>
      <c r="U195" s="2"/>
      <c r="V195" s="2"/>
      <c r="W195" s="8"/>
      <c r="X195" s="8"/>
      <c r="Y195" s="8"/>
      <c r="Z195" s="8"/>
      <c r="AA195" s="8"/>
    </row>
    <row r="196" spans="1:27" ht="19.149999999999999" customHeight="1" x14ac:dyDescent="0.25">
      <c r="A196" s="2"/>
      <c r="B196" s="30"/>
      <c r="C196" s="2"/>
      <c r="D196" s="2"/>
      <c r="E196" s="46"/>
      <c r="F196" s="2"/>
      <c r="G196" s="6"/>
      <c r="H196" s="30"/>
      <c r="I196" s="30"/>
      <c r="J196" s="30"/>
      <c r="K196" s="30"/>
      <c r="L196" s="39"/>
      <c r="M196" s="55"/>
      <c r="N196" s="7"/>
      <c r="O196" s="7"/>
      <c r="P196" s="7"/>
      <c r="Q196" s="112"/>
      <c r="R196" s="33"/>
      <c r="S196" s="6"/>
      <c r="T196" s="73"/>
      <c r="U196" s="2"/>
      <c r="V196" s="2"/>
      <c r="W196" s="8"/>
      <c r="X196" s="8"/>
      <c r="Y196" s="8"/>
      <c r="Z196" s="8"/>
      <c r="AA196" s="8"/>
    </row>
    <row r="197" spans="1:27" ht="19.149999999999999" customHeight="1" x14ac:dyDescent="0.25">
      <c r="A197" s="2"/>
      <c r="B197" s="35" t="s">
        <v>267</v>
      </c>
      <c r="C197" s="2"/>
      <c r="D197" s="2"/>
      <c r="E197" s="6"/>
      <c r="F197" s="2"/>
      <c r="G197" s="370" t="s">
        <v>268</v>
      </c>
      <c r="H197" s="371"/>
      <c r="I197" s="372"/>
      <c r="J197" s="372"/>
      <c r="K197" s="373"/>
      <c r="L197" s="374">
        <v>4000</v>
      </c>
      <c r="M197" s="375" t="s">
        <v>42</v>
      </c>
      <c r="N197" s="374">
        <v>50</v>
      </c>
      <c r="O197" s="374">
        <v>1000</v>
      </c>
      <c r="P197" s="376">
        <v>0</v>
      </c>
      <c r="Q197" s="377">
        <v>0</v>
      </c>
      <c r="R197" s="376">
        <v>200</v>
      </c>
      <c r="S197" s="6">
        <f>P197-R197</f>
        <v>-200</v>
      </c>
      <c r="T197" s="316" t="s">
        <v>477</v>
      </c>
      <c r="U197" s="2"/>
      <c r="V197" s="2"/>
      <c r="W197" s="8"/>
      <c r="X197" s="8"/>
      <c r="Y197" s="8"/>
      <c r="Z197" s="8"/>
      <c r="AA197" s="8"/>
    </row>
    <row r="198" spans="1:27" ht="19.149999999999999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122"/>
      <c r="M198" s="8"/>
      <c r="N198" s="8"/>
      <c r="O198" s="8"/>
      <c r="P198" s="8"/>
      <c r="Q198" s="113"/>
      <c r="R198" s="8"/>
      <c r="S198" s="6"/>
      <c r="T198" s="99"/>
      <c r="U198" s="6"/>
      <c r="V198" s="7"/>
      <c r="W198" s="8"/>
      <c r="X198" s="8"/>
      <c r="Y198" s="8"/>
      <c r="Z198" s="8"/>
      <c r="AA198" s="8"/>
    </row>
    <row r="199" spans="1:27" ht="19.149999999999999" customHeight="1" x14ac:dyDescent="0.25">
      <c r="A199" s="2"/>
      <c r="B199" s="30"/>
      <c r="C199" s="2"/>
      <c r="D199" s="2"/>
      <c r="E199" s="2"/>
      <c r="F199" s="2"/>
      <c r="G199" s="6"/>
      <c r="H199" s="30"/>
      <c r="I199" s="30"/>
      <c r="J199" s="30"/>
      <c r="K199" s="43"/>
      <c r="L199" s="38"/>
      <c r="M199" s="2"/>
      <c r="N199" s="39"/>
      <c r="O199" s="39"/>
      <c r="P199" s="53"/>
      <c r="Q199" s="118"/>
      <c r="R199" s="53"/>
      <c r="S199" s="14"/>
      <c r="T199" s="69"/>
      <c r="U199" s="6"/>
      <c r="V199" s="7"/>
      <c r="W199" s="8"/>
      <c r="X199" s="8"/>
      <c r="Y199" s="8"/>
      <c r="Z199" s="8"/>
      <c r="AA199" s="8"/>
    </row>
    <row r="200" spans="1:27" ht="19.149999999999999" customHeight="1" x14ac:dyDescent="0.25">
      <c r="A200" s="2"/>
      <c r="B200" s="30"/>
      <c r="C200" s="2"/>
      <c r="D200" s="2"/>
      <c r="E200" s="2"/>
      <c r="F200" s="2"/>
      <c r="G200" s="2"/>
      <c r="H200" s="6"/>
      <c r="I200" s="30"/>
      <c r="J200" s="30"/>
      <c r="K200" s="30"/>
      <c r="L200" s="58">
        <f>L6+L22+L33+L46+L55+L80+L83+L96+L152+L176+L194+L197+L199</f>
        <v>186348</v>
      </c>
      <c r="M200" s="123" t="s">
        <v>269</v>
      </c>
      <c r="N200" s="39"/>
      <c r="O200" s="39"/>
      <c r="P200" s="44">
        <f>P6+P22+P33+P46+P55+P80+P83+P96+P152+P176+P194+P197+P199</f>
        <v>32650.774999999998</v>
      </c>
      <c r="Q200" s="44">
        <f>Q6+Q22+Q33+Q46+Q55+Q80+Q83+Q96+Q152+Q176+Q194+Q197+Q199</f>
        <v>28001</v>
      </c>
      <c r="R200" s="44">
        <f>R6+R22+R33+R46+R55+R80+R83+R96+R152+R176+R194+R197+R199</f>
        <v>32601</v>
      </c>
      <c r="S200" s="44">
        <f>S6+S22+S33+S46+S55+S80+S83+S96+S152+S176+S194+S197+S199</f>
        <v>49.775000000000063</v>
      </c>
      <c r="T200" s="73"/>
      <c r="U200" s="8"/>
      <c r="V200" s="7"/>
      <c r="W200" s="8"/>
      <c r="X200" s="8"/>
      <c r="Y200" s="8"/>
      <c r="Z200" s="8"/>
      <c r="AA200" s="8"/>
    </row>
    <row r="201" spans="1:27" ht="19.149999999999999" customHeight="1" x14ac:dyDescent="0.25">
      <c r="A201" s="124" t="s">
        <v>270</v>
      </c>
      <c r="B201" s="7"/>
      <c r="C201" s="2"/>
      <c r="D201" s="2"/>
      <c r="E201" s="2"/>
      <c r="F201" s="2"/>
      <c r="G201" s="2"/>
      <c r="H201" s="6"/>
      <c r="I201" s="30"/>
      <c r="J201" s="30"/>
      <c r="K201" s="30"/>
      <c r="L201" s="39"/>
      <c r="M201" s="125" t="s">
        <v>271</v>
      </c>
      <c r="N201" s="39"/>
      <c r="O201" s="39"/>
      <c r="P201" s="33">
        <f>42*220</f>
        <v>9240</v>
      </c>
      <c r="Q201" s="112"/>
      <c r="R201" s="33">
        <f>42*220</f>
        <v>9240</v>
      </c>
      <c r="S201" s="6">
        <f>P201-R201</f>
        <v>0</v>
      </c>
      <c r="T201" s="73"/>
      <c r="U201" s="6"/>
      <c r="V201" s="7"/>
      <c r="W201" s="8"/>
      <c r="X201" s="8"/>
      <c r="Y201" s="8"/>
      <c r="Z201" s="8"/>
      <c r="AA201" s="8"/>
    </row>
    <row r="202" spans="1:27" ht="16.149999999999999" customHeight="1" x14ac:dyDescent="0.25">
      <c r="A202" s="312" t="s">
        <v>469</v>
      </c>
      <c r="B202" s="7"/>
      <c r="C202" s="2"/>
      <c r="D202" s="2"/>
      <c r="E202" s="2"/>
      <c r="F202" s="2"/>
      <c r="G202" s="2"/>
      <c r="H202" s="2"/>
      <c r="I202" s="30"/>
      <c r="J202" s="30"/>
      <c r="K202" s="30"/>
      <c r="L202" s="33"/>
      <c r="M202" s="125" t="s">
        <v>272</v>
      </c>
      <c r="N202" s="39"/>
      <c r="O202" s="39"/>
      <c r="P202" s="53">
        <v>3000</v>
      </c>
      <c r="Q202" s="112"/>
      <c r="R202" s="53">
        <v>3000</v>
      </c>
      <c r="S202" s="6">
        <f>P202-R202</f>
        <v>0</v>
      </c>
      <c r="T202" s="73"/>
      <c r="U202" s="6"/>
      <c r="V202" s="7"/>
      <c r="W202" s="8"/>
      <c r="X202" s="8"/>
      <c r="Y202" s="8"/>
      <c r="Z202" s="8"/>
      <c r="AA202" s="8"/>
    </row>
    <row r="203" spans="1:27" ht="16.149999999999999" customHeight="1" x14ac:dyDescent="0.25">
      <c r="A203" s="313" t="s">
        <v>470</v>
      </c>
      <c r="B203" s="7"/>
      <c r="C203" s="2"/>
      <c r="D203" s="2"/>
      <c r="E203" s="2"/>
      <c r="F203" s="2"/>
      <c r="G203" s="2"/>
      <c r="H203" s="2"/>
      <c r="I203" s="30"/>
      <c r="J203" s="30"/>
      <c r="K203" s="2"/>
      <c r="L203" s="39"/>
      <c r="M203" s="125" t="s">
        <v>273</v>
      </c>
      <c r="N203" s="39"/>
      <c r="O203" s="39"/>
      <c r="P203" s="44">
        <f>SUM(P200:P202)</f>
        <v>44890.774999999994</v>
      </c>
      <c r="Q203" s="112"/>
      <c r="R203" s="44">
        <f>SUM(R200:R202)</f>
        <v>44841</v>
      </c>
      <c r="S203" s="6">
        <f>P203-R203</f>
        <v>49.774999999994179</v>
      </c>
      <c r="T203" s="73"/>
      <c r="U203" s="6"/>
      <c r="V203" s="7"/>
      <c r="W203" s="8"/>
      <c r="X203" s="8"/>
      <c r="Y203" s="8"/>
      <c r="Z203" s="8"/>
      <c r="AA203" s="8"/>
    </row>
    <row r="204" spans="1:27" ht="19.149999999999999" customHeight="1" x14ac:dyDescent="0.25">
      <c r="A204" s="312" t="s">
        <v>468</v>
      </c>
      <c r="B204" s="7"/>
      <c r="C204" s="2"/>
      <c r="D204" s="2"/>
      <c r="E204" s="2"/>
      <c r="F204" s="2"/>
      <c r="G204" s="2"/>
      <c r="H204" s="2"/>
      <c r="I204" s="6"/>
      <c r="J204" s="6"/>
      <c r="K204" s="2"/>
      <c r="L204" s="39"/>
      <c r="M204" s="125" t="s">
        <v>274</v>
      </c>
      <c r="N204" s="39"/>
      <c r="O204" s="39"/>
      <c r="P204" s="53">
        <v>45000</v>
      </c>
      <c r="Q204" s="112"/>
      <c r="R204" s="53">
        <v>45000</v>
      </c>
      <c r="S204" s="6">
        <f>P204-R204</f>
        <v>0</v>
      </c>
      <c r="T204" s="73"/>
      <c r="U204" s="6"/>
      <c r="V204" s="7"/>
      <c r="W204" s="8"/>
      <c r="X204" s="8"/>
      <c r="Y204" s="8"/>
      <c r="Z204" s="8"/>
      <c r="AA204" s="8"/>
    </row>
    <row r="205" spans="1:27" ht="19.149999999999999" customHeight="1" x14ac:dyDescent="0.25">
      <c r="A205" s="313" t="s">
        <v>471</v>
      </c>
      <c r="B205" s="7"/>
      <c r="C205" s="7"/>
      <c r="D205" s="2"/>
      <c r="E205" s="2"/>
      <c r="F205" s="2"/>
      <c r="G205" s="2"/>
      <c r="H205" s="2"/>
      <c r="I205" s="6"/>
      <c r="J205" s="6"/>
      <c r="K205" s="2"/>
      <c r="L205" s="39"/>
      <c r="M205" s="305" t="s">
        <v>457</v>
      </c>
      <c r="N205" s="39"/>
      <c r="O205" s="39"/>
      <c r="P205" s="126">
        <f>P204-P203</f>
        <v>109.22500000000582</v>
      </c>
      <c r="Q205" s="112"/>
      <c r="R205" s="126">
        <f>R204-R203</f>
        <v>159</v>
      </c>
      <c r="S205" s="6">
        <f>P205-R205</f>
        <v>-49.774999999994179</v>
      </c>
      <c r="T205" s="362" t="s">
        <v>488</v>
      </c>
      <c r="U205" s="6"/>
      <c r="V205" s="7"/>
      <c r="W205" s="8"/>
      <c r="X205" s="8"/>
      <c r="Y205" s="8"/>
      <c r="Z205" s="8"/>
      <c r="AA205" s="8"/>
    </row>
    <row r="206" spans="1:27" ht="19.149999999999999" customHeight="1" x14ac:dyDescent="0.25">
      <c r="A206" s="308" t="s">
        <v>459</v>
      </c>
      <c r="B206" s="8"/>
      <c r="C206" s="7"/>
      <c r="D206" s="2"/>
      <c r="E206" s="2"/>
      <c r="F206" s="2"/>
      <c r="G206" s="2"/>
      <c r="H206" s="2"/>
      <c r="I206" s="6"/>
      <c r="J206" s="6"/>
      <c r="K206" s="2"/>
      <c r="L206" s="39"/>
      <c r="M206" s="7"/>
      <c r="N206" s="7"/>
      <c r="O206" s="7"/>
      <c r="P206" s="75"/>
      <c r="Q206" s="112"/>
      <c r="R206" s="6"/>
      <c r="S206" s="6"/>
      <c r="T206" s="362" t="s">
        <v>487</v>
      </c>
      <c r="U206" s="6"/>
      <c r="V206" s="7"/>
      <c r="W206" s="8"/>
      <c r="X206" s="8"/>
      <c r="Y206" s="8"/>
      <c r="Z206" s="8"/>
      <c r="AA206" s="8"/>
    </row>
    <row r="207" spans="1:27" ht="19.149999999999999" customHeight="1" x14ac:dyDescent="0.25">
      <c r="A207" s="313" t="s">
        <v>275</v>
      </c>
      <c r="B207" s="7"/>
      <c r="C207" s="46"/>
      <c r="D207" s="2"/>
      <c r="E207" s="2"/>
      <c r="F207" s="2"/>
      <c r="G207" s="2"/>
      <c r="H207" s="2"/>
      <c r="I207" s="6"/>
      <c r="J207" s="6"/>
      <c r="K207" s="2"/>
      <c r="L207" s="39"/>
      <c r="M207" s="37" t="s">
        <v>276</v>
      </c>
      <c r="N207" s="6"/>
      <c r="O207" s="6"/>
      <c r="P207" s="6"/>
      <c r="Q207" s="112"/>
      <c r="R207" s="6"/>
      <c r="S207" s="6"/>
      <c r="T207" s="73"/>
      <c r="U207" s="6"/>
      <c r="V207" s="7"/>
      <c r="W207" s="8"/>
      <c r="X207" s="8"/>
      <c r="Y207" s="8"/>
      <c r="Z207" s="8"/>
      <c r="AA207" s="8"/>
    </row>
    <row r="208" spans="1:27" ht="19.149999999999999" customHeight="1" x14ac:dyDescent="0.25">
      <c r="A208" s="313" t="s">
        <v>472</v>
      </c>
      <c r="B208" s="7"/>
      <c r="C208" s="46"/>
      <c r="D208" s="2"/>
      <c r="E208" s="2"/>
      <c r="F208" s="2"/>
      <c r="G208" s="2"/>
      <c r="H208" s="2"/>
      <c r="I208" s="6"/>
      <c r="J208" s="6"/>
      <c r="K208" s="2"/>
      <c r="L208" s="39"/>
      <c r="M208" s="37" t="s">
        <v>277</v>
      </c>
      <c r="N208" s="6"/>
      <c r="O208" s="6"/>
      <c r="P208" s="6"/>
      <c r="Q208" s="112"/>
      <c r="R208" s="6"/>
      <c r="S208" s="6"/>
      <c r="T208" s="73"/>
      <c r="U208" s="6"/>
      <c r="V208" s="7"/>
      <c r="W208" s="8"/>
      <c r="X208" s="8"/>
      <c r="Y208" s="8"/>
      <c r="Z208" s="8"/>
      <c r="AA208" s="8"/>
    </row>
    <row r="209" spans="1:27" ht="19.149999999999999" customHeight="1" thickBot="1" x14ac:dyDescent="0.3">
      <c r="A209" s="313" t="s">
        <v>476</v>
      </c>
      <c r="B209" s="7"/>
      <c r="C209" s="46"/>
      <c r="D209" s="2"/>
      <c r="E209" s="2"/>
      <c r="F209" s="2"/>
      <c r="G209" s="2"/>
      <c r="H209" s="2"/>
      <c r="I209" s="6"/>
      <c r="J209" s="6"/>
      <c r="K209" s="2"/>
      <c r="L209" s="46"/>
      <c r="M209" s="178"/>
      <c r="N209" s="178"/>
      <c r="O209" s="178"/>
      <c r="P209" s="178"/>
      <c r="Q209" s="112"/>
      <c r="R209" s="6"/>
      <c r="S209" s="6"/>
      <c r="T209" s="73"/>
      <c r="U209" s="6"/>
      <c r="V209" s="7"/>
      <c r="W209" s="8"/>
      <c r="X209" s="8"/>
      <c r="Y209" s="8"/>
      <c r="Z209" s="8"/>
      <c r="AA209" s="8"/>
    </row>
    <row r="210" spans="1:27" ht="19.149999999999999" customHeight="1" x14ac:dyDescent="0.25">
      <c r="A210" s="313" t="s">
        <v>473</v>
      </c>
      <c r="B210" s="7"/>
      <c r="C210" s="46"/>
      <c r="D210" s="2"/>
      <c r="E210" s="2"/>
      <c r="F210" s="2"/>
      <c r="G210" s="2"/>
      <c r="H210" s="2"/>
      <c r="I210" s="6"/>
      <c r="J210" s="6"/>
      <c r="K210" s="2"/>
      <c r="L210" s="324"/>
      <c r="M210" s="340" t="s">
        <v>278</v>
      </c>
      <c r="N210" s="330"/>
      <c r="O210" s="331"/>
      <c r="P210" s="332">
        <f>SUM(P211:P220)</f>
        <v>2535</v>
      </c>
      <c r="Q210" s="327" t="s">
        <v>279</v>
      </c>
      <c r="R210" s="6"/>
      <c r="S210" s="6"/>
      <c r="T210" s="73"/>
      <c r="U210" s="6"/>
      <c r="V210" s="7"/>
      <c r="W210" s="8"/>
      <c r="X210" s="8"/>
      <c r="Y210" s="8"/>
      <c r="Z210" s="8"/>
      <c r="AA210" s="8"/>
    </row>
    <row r="211" spans="1:27" ht="19.149999999999999" customHeight="1" x14ac:dyDescent="0.25">
      <c r="A211" s="365" t="s">
        <v>486</v>
      </c>
      <c r="B211" s="7"/>
      <c r="C211" s="46"/>
      <c r="D211" s="2"/>
      <c r="E211" s="2"/>
      <c r="F211" s="2"/>
      <c r="G211" s="2"/>
      <c r="H211" s="2"/>
      <c r="I211" s="6"/>
      <c r="J211" s="6"/>
      <c r="K211" s="2"/>
      <c r="L211" s="325"/>
      <c r="M211" s="333" t="s">
        <v>280</v>
      </c>
      <c r="N211" s="317">
        <v>200</v>
      </c>
      <c r="O211" s="317"/>
      <c r="P211" s="334"/>
      <c r="Q211" s="328"/>
      <c r="R211" s="6"/>
      <c r="S211" s="6"/>
      <c r="T211" s="73"/>
      <c r="U211" s="6"/>
      <c r="V211" s="7"/>
      <c r="W211" s="8"/>
      <c r="X211" s="8"/>
      <c r="Y211" s="8"/>
      <c r="Z211" s="8"/>
      <c r="AA211" s="8"/>
    </row>
    <row r="212" spans="1:27" ht="19.149999999999999" customHeight="1" x14ac:dyDescent="0.25">
      <c r="A212" s="314" t="s">
        <v>475</v>
      </c>
      <c r="B212" s="127"/>
      <c r="C212" s="46"/>
      <c r="D212" s="2"/>
      <c r="E212" s="2"/>
      <c r="F212" s="2"/>
      <c r="G212" s="2"/>
      <c r="H212" s="2"/>
      <c r="I212" s="6"/>
      <c r="J212" s="6"/>
      <c r="K212" s="2"/>
      <c r="L212" s="326"/>
      <c r="M212" s="333" t="s">
        <v>281</v>
      </c>
      <c r="N212" s="317">
        <v>50</v>
      </c>
      <c r="O212" s="318" t="s">
        <v>282</v>
      </c>
      <c r="P212" s="334">
        <f>35*N212</f>
        <v>1750</v>
      </c>
      <c r="Q212" s="329" t="s">
        <v>461</v>
      </c>
      <c r="R212" s="6"/>
      <c r="S212" s="6"/>
      <c r="T212" s="73"/>
      <c r="U212" s="6"/>
      <c r="V212" s="7"/>
      <c r="W212" s="8"/>
      <c r="X212" s="8"/>
      <c r="Y212" s="8"/>
      <c r="Z212" s="8"/>
      <c r="AA212" s="8"/>
    </row>
    <row r="213" spans="1:27" ht="19.149999999999999" customHeight="1" x14ac:dyDescent="0.25">
      <c r="A213" s="314" t="s">
        <v>474</v>
      </c>
      <c r="B213" s="7"/>
      <c r="C213" s="46"/>
      <c r="D213" s="2"/>
      <c r="E213" s="2"/>
      <c r="F213" s="2"/>
      <c r="G213" s="2"/>
      <c r="H213" s="2"/>
      <c r="I213" s="6"/>
      <c r="J213" s="6"/>
      <c r="K213" s="2"/>
      <c r="L213" s="326"/>
      <c r="M213" s="333" t="s">
        <v>284</v>
      </c>
      <c r="N213" s="317"/>
      <c r="O213" s="317"/>
      <c r="P213" s="334">
        <f>250</f>
        <v>250</v>
      </c>
      <c r="Q213" s="329" t="s">
        <v>479</v>
      </c>
      <c r="R213" s="6"/>
      <c r="S213" s="6"/>
      <c r="T213" s="73"/>
      <c r="U213" s="6"/>
      <c r="V213" s="7"/>
      <c r="W213" s="8"/>
      <c r="X213" s="8"/>
      <c r="Y213" s="8"/>
      <c r="Z213" s="8"/>
      <c r="AA213" s="8"/>
    </row>
    <row r="214" spans="1:27" ht="19.149999999999999" customHeight="1" x14ac:dyDescent="0.25">
      <c r="A214" s="314" t="s">
        <v>283</v>
      </c>
      <c r="B214" s="69"/>
      <c r="C214" s="46"/>
      <c r="D214" s="2"/>
      <c r="E214" s="2"/>
      <c r="F214" s="2"/>
      <c r="G214" s="2"/>
      <c r="H214" s="2"/>
      <c r="I214" s="6"/>
      <c r="J214" s="6"/>
      <c r="K214" s="2"/>
      <c r="L214" s="326"/>
      <c r="M214" s="333" t="s">
        <v>286</v>
      </c>
      <c r="N214" s="317"/>
      <c r="O214" s="317"/>
      <c r="P214" s="334"/>
      <c r="Q214" s="328" t="s">
        <v>478</v>
      </c>
      <c r="R214" s="6"/>
      <c r="S214" s="6"/>
      <c r="T214" s="73"/>
      <c r="U214" s="6"/>
      <c r="V214" s="7"/>
      <c r="W214" s="8"/>
      <c r="X214" s="8"/>
      <c r="Y214" s="8"/>
      <c r="Z214" s="8"/>
      <c r="AA214" s="8"/>
    </row>
    <row r="215" spans="1:27" ht="19.149999999999999" customHeight="1" x14ac:dyDescent="0.25">
      <c r="A215" s="314" t="s">
        <v>285</v>
      </c>
      <c r="B215" s="8"/>
      <c r="C215" s="8"/>
      <c r="D215" s="8"/>
      <c r="E215" s="8"/>
      <c r="F215" s="8"/>
      <c r="G215" s="8"/>
      <c r="H215" s="7"/>
      <c r="I215" s="6"/>
      <c r="J215" s="6"/>
      <c r="K215" s="2"/>
      <c r="L215" s="171"/>
      <c r="M215" s="333" t="s">
        <v>287</v>
      </c>
      <c r="N215" s="317"/>
      <c r="O215" s="317"/>
      <c r="P215" s="334">
        <v>-500</v>
      </c>
      <c r="Q215" s="329" t="s">
        <v>462</v>
      </c>
      <c r="R215" s="6"/>
      <c r="S215" s="6"/>
      <c r="T215" s="73"/>
      <c r="U215" s="6"/>
      <c r="V215" s="7"/>
      <c r="W215" s="8"/>
      <c r="X215" s="8"/>
      <c r="Y215" s="8"/>
      <c r="Z215" s="8"/>
      <c r="AA215" s="8"/>
    </row>
    <row r="216" spans="1:27" ht="19.149999999999999" customHeight="1" x14ac:dyDescent="0.25">
      <c r="A216" s="366" t="s">
        <v>460</v>
      </c>
      <c r="B216" s="367"/>
      <c r="C216" s="368"/>
      <c r="D216" s="368"/>
      <c r="E216" s="368"/>
      <c r="F216" s="368"/>
      <c r="G216" s="368"/>
      <c r="H216" s="2"/>
      <c r="I216" s="6"/>
      <c r="J216" s="6"/>
      <c r="K216" s="2"/>
      <c r="L216" s="274"/>
      <c r="M216" s="333" t="s">
        <v>289</v>
      </c>
      <c r="N216" s="317"/>
      <c r="O216" s="317"/>
      <c r="P216" s="334"/>
      <c r="Q216" s="328"/>
      <c r="R216" s="6"/>
      <c r="S216" s="6"/>
      <c r="T216" s="6"/>
      <c r="U216" s="6"/>
      <c r="V216" s="7"/>
      <c r="W216" s="8"/>
      <c r="X216" s="8"/>
      <c r="Y216" s="8"/>
      <c r="Z216" s="8"/>
      <c r="AA216" s="8"/>
    </row>
    <row r="217" spans="1:27" ht="19.149999999999999" customHeight="1" x14ac:dyDescent="0.25">
      <c r="A217" s="315" t="s">
        <v>288</v>
      </c>
      <c r="B217" s="369"/>
      <c r="C217" s="306"/>
      <c r="D217" s="306"/>
      <c r="E217" s="306"/>
      <c r="F217" s="306"/>
      <c r="G217" s="306"/>
      <c r="H217" s="2"/>
      <c r="I217" s="6"/>
      <c r="J217" s="6"/>
      <c r="K217" s="2"/>
      <c r="L217" s="274"/>
      <c r="M217" s="333" t="s">
        <v>290</v>
      </c>
      <c r="N217" s="319"/>
      <c r="O217" s="319"/>
      <c r="P217" s="335">
        <v>300</v>
      </c>
      <c r="Q217" s="329" t="s">
        <v>463</v>
      </c>
      <c r="R217" s="6"/>
      <c r="S217" s="6"/>
      <c r="T217" s="6"/>
      <c r="U217" s="6"/>
      <c r="V217" s="7"/>
      <c r="W217" s="8"/>
      <c r="X217" s="8"/>
      <c r="Y217" s="8"/>
      <c r="Z217" s="8"/>
      <c r="AA217" s="8"/>
    </row>
    <row r="218" spans="1:27" ht="19.149999999999999" customHeight="1" x14ac:dyDescent="0.35">
      <c r="A218" s="128"/>
      <c r="B218" s="128"/>
      <c r="C218" s="128"/>
      <c r="D218" s="128"/>
      <c r="E218" s="128"/>
      <c r="F218" s="128"/>
      <c r="G218" s="128"/>
      <c r="H218" s="6"/>
      <c r="I218" s="2"/>
      <c r="J218" s="2"/>
      <c r="K218" s="2"/>
      <c r="L218" s="274"/>
      <c r="M218" s="336" t="s">
        <v>291</v>
      </c>
      <c r="N218" s="319"/>
      <c r="O218" s="319"/>
      <c r="P218" s="360">
        <f>800-65</f>
        <v>735</v>
      </c>
      <c r="Q218" s="329" t="s">
        <v>464</v>
      </c>
      <c r="R218" s="6"/>
      <c r="S218" s="6"/>
      <c r="T218" s="6"/>
      <c r="U218" s="6"/>
      <c r="V218" s="7"/>
      <c r="W218" s="8"/>
      <c r="X218" s="8"/>
      <c r="Y218" s="8"/>
      <c r="Z218" s="8"/>
      <c r="AA218" s="8"/>
    </row>
    <row r="219" spans="1:27" ht="19.149999999999999" customHeight="1" thickBot="1" x14ac:dyDescent="0.3">
      <c r="A219" s="128"/>
      <c r="B219" s="128"/>
      <c r="C219" s="128"/>
      <c r="D219" s="128"/>
      <c r="E219" s="128"/>
      <c r="F219" s="128"/>
      <c r="G219" s="128"/>
      <c r="H219" s="6"/>
      <c r="I219" s="2"/>
      <c r="J219" s="2"/>
      <c r="K219" s="2"/>
      <c r="L219" s="274"/>
      <c r="M219" s="337"/>
      <c r="N219" s="338"/>
      <c r="O219" s="338"/>
      <c r="P219" s="339"/>
      <c r="Q219" s="320"/>
      <c r="R219" s="2"/>
      <c r="S219" s="2"/>
      <c r="T219" s="2"/>
      <c r="U219" s="2"/>
      <c r="V219" s="2"/>
      <c r="W219" s="8"/>
      <c r="X219" s="8"/>
      <c r="Y219" s="8"/>
      <c r="Z219" s="8"/>
      <c r="AA219" s="8"/>
    </row>
    <row r="220" spans="1:27" ht="19.149999999999999" customHeight="1" x14ac:dyDescent="0.25">
      <c r="A220" s="128"/>
      <c r="B220" s="128"/>
      <c r="C220" s="128"/>
      <c r="D220" s="128"/>
      <c r="E220" s="128"/>
      <c r="F220" s="128"/>
      <c r="G220" s="128"/>
      <c r="H220" s="6"/>
      <c r="I220" s="2"/>
      <c r="J220" s="2"/>
      <c r="K220" s="2"/>
      <c r="L220" s="274"/>
      <c r="M220" s="322"/>
      <c r="N220" s="322"/>
      <c r="O220" s="322"/>
      <c r="P220" s="323"/>
      <c r="Q220" s="320"/>
      <c r="R220" s="6"/>
      <c r="S220" s="6"/>
      <c r="T220" s="6"/>
      <c r="U220" s="6"/>
      <c r="V220" s="7"/>
      <c r="W220" s="8"/>
      <c r="X220" s="8"/>
      <c r="Y220" s="8"/>
      <c r="Z220" s="8"/>
      <c r="AA220" s="8"/>
    </row>
    <row r="221" spans="1:27" ht="19.149999999999999" customHeight="1" x14ac:dyDescent="0.25">
      <c r="A221" s="128"/>
      <c r="B221" s="128"/>
      <c r="C221" s="128"/>
      <c r="D221" s="128"/>
      <c r="E221" s="128"/>
      <c r="F221" s="128"/>
      <c r="G221" s="128"/>
      <c r="H221" s="6"/>
      <c r="I221" s="2"/>
      <c r="J221" s="2"/>
      <c r="K221" s="2"/>
      <c r="L221" s="274"/>
      <c r="M221" s="322"/>
      <c r="N221" s="322"/>
      <c r="O221" s="322"/>
      <c r="P221" s="323"/>
      <c r="Q221" s="320"/>
      <c r="R221" s="6"/>
      <c r="S221" s="6"/>
      <c r="T221" s="6"/>
      <c r="U221" s="6"/>
      <c r="V221" s="7"/>
      <c r="W221" s="8"/>
      <c r="X221" s="8"/>
      <c r="Y221" s="8"/>
      <c r="Z221" s="8"/>
      <c r="AA221" s="8"/>
    </row>
    <row r="222" spans="1:27" ht="19.149999999999999" customHeight="1" x14ac:dyDescent="0.25">
      <c r="A222" s="128"/>
      <c r="B222" s="128"/>
      <c r="C222" s="128"/>
      <c r="D222" s="128"/>
      <c r="E222" s="128"/>
      <c r="F222" s="128"/>
      <c r="G222" s="128"/>
      <c r="H222" s="6"/>
      <c r="I222" s="2"/>
      <c r="J222" s="2"/>
      <c r="K222" s="2"/>
      <c r="L222" s="33"/>
      <c r="M222" s="321"/>
      <c r="N222" s="321"/>
      <c r="O222" s="321"/>
      <c r="P222" s="321"/>
      <c r="Q222" s="129"/>
      <c r="R222" s="6"/>
      <c r="S222" s="6"/>
      <c r="T222" s="6"/>
      <c r="U222" s="6"/>
      <c r="V222" s="7"/>
      <c r="W222" s="8"/>
      <c r="X222" s="8"/>
      <c r="Y222" s="8"/>
      <c r="Z222" s="8"/>
      <c r="AA222" s="8"/>
    </row>
    <row r="223" spans="1:27" ht="19.149999999999999" customHeight="1" x14ac:dyDescent="0.25">
      <c r="A223" s="128"/>
      <c r="B223" s="128"/>
      <c r="C223" s="128"/>
      <c r="D223" s="128"/>
      <c r="E223" s="128"/>
      <c r="F223" s="128"/>
      <c r="G223" s="128"/>
      <c r="H223" s="6"/>
      <c r="I223" s="2"/>
      <c r="J223" s="2"/>
      <c r="K223" s="2"/>
      <c r="L223" s="33"/>
      <c r="M223" s="128"/>
      <c r="N223" s="128"/>
      <c r="O223" s="128"/>
      <c r="P223" s="128"/>
      <c r="Q223" s="116"/>
      <c r="R223" s="6"/>
      <c r="S223" s="6"/>
      <c r="T223" s="6"/>
      <c r="U223" s="6"/>
      <c r="V223" s="7"/>
      <c r="W223" s="8"/>
      <c r="X223" s="8"/>
      <c r="Y223" s="8"/>
      <c r="Z223" s="8"/>
      <c r="AA223" s="8"/>
    </row>
    <row r="224" spans="1:27" ht="15" customHeight="1" x14ac:dyDescent="0.25">
      <c r="A224" s="128"/>
      <c r="B224" s="128"/>
      <c r="C224" s="128"/>
      <c r="D224" s="128"/>
      <c r="E224" s="128"/>
      <c r="F224" s="128"/>
      <c r="G224" s="128"/>
      <c r="H224" s="6"/>
      <c r="I224" s="7"/>
      <c r="J224" s="7"/>
      <c r="K224" s="7"/>
      <c r="L224" s="7"/>
      <c r="M224" s="128"/>
      <c r="N224" s="128"/>
      <c r="O224" s="128"/>
      <c r="P224" s="128"/>
      <c r="Q224" s="127"/>
      <c r="R224" s="6"/>
      <c r="S224" s="6"/>
      <c r="T224" s="6"/>
      <c r="U224" s="6"/>
      <c r="V224" s="7"/>
      <c r="W224" s="8"/>
      <c r="X224" s="8"/>
      <c r="Y224" s="8"/>
      <c r="Z224" s="8"/>
      <c r="AA224" s="8"/>
    </row>
    <row r="225" spans="1:27" ht="19.899999999999999" customHeight="1" x14ac:dyDescent="0.25">
      <c r="A225" s="128"/>
      <c r="B225" s="128"/>
      <c r="C225" s="128"/>
      <c r="D225" s="128"/>
      <c r="E225" s="128"/>
      <c r="F225" s="128"/>
      <c r="G225" s="128"/>
      <c r="H225" s="6"/>
      <c r="I225" s="7"/>
      <c r="J225" s="7"/>
      <c r="K225" s="7"/>
      <c r="L225" s="7"/>
      <c r="M225" s="128"/>
      <c r="N225" s="128"/>
      <c r="O225" s="128"/>
      <c r="P225" s="128"/>
      <c r="Q225" s="127"/>
      <c r="R225" s="6"/>
      <c r="S225" s="6"/>
      <c r="T225" s="6"/>
      <c r="U225" s="6"/>
      <c r="V225" s="7"/>
      <c r="W225" s="8"/>
      <c r="X225" s="8"/>
      <c r="Y225" s="8"/>
      <c r="Z225" s="8"/>
      <c r="AA225" s="8"/>
    </row>
    <row r="226" spans="1:27" ht="15" customHeight="1" x14ac:dyDescent="0.25">
      <c r="A226" s="6"/>
      <c r="B226" s="125" t="s">
        <v>292</v>
      </c>
      <c r="C226" s="6"/>
      <c r="D226" s="6"/>
      <c r="E226" s="6"/>
      <c r="F226" s="6"/>
      <c r="G226" s="6"/>
      <c r="H226" s="6"/>
      <c r="I226" s="7"/>
      <c r="J226" s="7"/>
      <c r="K226" s="7"/>
      <c r="L226" s="7"/>
      <c r="M226" s="128"/>
      <c r="N226" s="128"/>
      <c r="O226" s="128"/>
      <c r="P226" s="128"/>
      <c r="Q226" s="127"/>
      <c r="R226" s="6"/>
      <c r="S226" s="6"/>
      <c r="T226" s="6"/>
      <c r="U226" s="6"/>
      <c r="V226" s="7"/>
      <c r="W226" s="8"/>
      <c r="X226" s="8"/>
      <c r="Y226" s="8"/>
      <c r="Z226" s="8"/>
      <c r="AA226" s="8"/>
    </row>
    <row r="227" spans="1:27" ht="19.899999999999999" customHeight="1" x14ac:dyDescent="0.25">
      <c r="A227" s="37" t="s">
        <v>293</v>
      </c>
      <c r="B227" s="103"/>
      <c r="C227" s="6"/>
      <c r="D227" s="6"/>
      <c r="E227" s="6"/>
      <c r="F227" s="6"/>
      <c r="G227" s="6"/>
      <c r="H227" s="6"/>
      <c r="I227" s="7"/>
      <c r="J227" s="7"/>
      <c r="K227" s="7"/>
      <c r="L227" s="7"/>
      <c r="M227" s="128"/>
      <c r="N227" s="128"/>
      <c r="O227" s="128"/>
      <c r="P227" s="128"/>
      <c r="Q227" s="127"/>
      <c r="R227" s="6"/>
      <c r="S227" s="6"/>
      <c r="T227" s="6"/>
      <c r="U227" s="6"/>
      <c r="V227" s="7"/>
      <c r="W227" s="8"/>
      <c r="X227" s="8"/>
      <c r="Y227" s="8"/>
      <c r="Z227" s="8"/>
      <c r="AA227" s="8"/>
    </row>
    <row r="228" spans="1:27" ht="15" customHeight="1" x14ac:dyDescent="0.25">
      <c r="A228" s="37" t="s">
        <v>294</v>
      </c>
      <c r="B228" s="37" t="s">
        <v>295</v>
      </c>
      <c r="C228" s="6"/>
      <c r="D228" s="6"/>
      <c r="E228" s="37" t="s">
        <v>296</v>
      </c>
      <c r="F228" s="6"/>
      <c r="G228" s="6"/>
      <c r="H228" s="6"/>
      <c r="I228" s="7"/>
      <c r="J228" s="7"/>
      <c r="K228" s="7"/>
      <c r="L228" s="7"/>
      <c r="M228" s="128"/>
      <c r="N228" s="128"/>
      <c r="O228" s="128"/>
      <c r="P228" s="128"/>
      <c r="Q228" s="127"/>
      <c r="R228" s="6"/>
      <c r="S228" s="6"/>
      <c r="T228" s="6"/>
      <c r="U228" s="6"/>
      <c r="V228" s="7"/>
      <c r="W228" s="8"/>
      <c r="X228" s="8"/>
      <c r="Y228" s="8"/>
      <c r="Z228" s="8"/>
      <c r="AA228" s="8"/>
    </row>
    <row r="229" spans="1:27" ht="15" customHeight="1" x14ac:dyDescent="0.25">
      <c r="A229" s="6"/>
      <c r="B229" s="37" t="s">
        <v>297</v>
      </c>
      <c r="C229" s="6"/>
      <c r="D229" s="6"/>
      <c r="E229" s="6"/>
      <c r="F229" s="6"/>
      <c r="G229" s="6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</row>
    <row r="230" spans="1:27" ht="15" customHeight="1" x14ac:dyDescent="0.25">
      <c r="A230" s="37" t="s">
        <v>298</v>
      </c>
      <c r="B230" s="37" t="s">
        <v>299</v>
      </c>
      <c r="C230" s="6"/>
      <c r="D230" s="6"/>
      <c r="E230" s="37" t="s">
        <v>300</v>
      </c>
      <c r="F230" s="6"/>
      <c r="G230" s="6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</row>
    <row r="231" spans="1:27" ht="15" customHeight="1" x14ac:dyDescent="0.25">
      <c r="A231" s="6"/>
      <c r="B231" s="37" t="s">
        <v>301</v>
      </c>
      <c r="C231" s="6"/>
      <c r="D231" s="6"/>
      <c r="E231" s="46"/>
      <c r="F231" s="6"/>
      <c r="G231" s="6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</row>
    <row r="232" spans="1:27" ht="15" customHeight="1" x14ac:dyDescent="0.25">
      <c r="A232" s="6"/>
      <c r="B232" s="6"/>
      <c r="C232" s="6"/>
      <c r="D232" s="6"/>
      <c r="E232" s="50"/>
      <c r="F232" s="6"/>
      <c r="G232" s="6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</row>
    <row r="233" spans="1:27" ht="15" customHeight="1" x14ac:dyDescent="0.25">
      <c r="A233" s="37" t="s">
        <v>302</v>
      </c>
      <c r="B233" s="37" t="s">
        <v>303</v>
      </c>
      <c r="C233" s="6"/>
      <c r="D233" s="6"/>
      <c r="E233" s="130" t="s">
        <v>304</v>
      </c>
      <c r="F233" s="6"/>
      <c r="G233" s="6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</row>
    <row r="234" spans="1:27" ht="15" customHeight="1" x14ac:dyDescent="0.25">
      <c r="A234" s="6"/>
      <c r="B234" s="6"/>
      <c r="C234" s="6"/>
      <c r="D234" s="6"/>
      <c r="E234" s="6"/>
      <c r="F234" s="6"/>
      <c r="G234" s="6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</row>
    <row r="235" spans="1:27" ht="15" customHeight="1" x14ac:dyDescent="0.25">
      <c r="A235" s="37" t="s">
        <v>305</v>
      </c>
      <c r="B235" s="37" t="s">
        <v>306</v>
      </c>
      <c r="C235" s="6"/>
      <c r="D235" s="6"/>
      <c r="E235" s="131" t="s">
        <v>236</v>
      </c>
      <c r="F235" s="6"/>
      <c r="G235" s="6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</row>
    <row r="236" spans="1:27" ht="15" customHeight="1" x14ac:dyDescent="0.25">
      <c r="A236" s="6"/>
      <c r="B236" s="6"/>
      <c r="C236" s="6"/>
      <c r="D236" s="6"/>
      <c r="E236" s="6"/>
      <c r="F236" s="6"/>
      <c r="G236" s="6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</row>
  </sheetData>
  <mergeCells count="2">
    <mergeCell ref="B100:C100"/>
    <mergeCell ref="B5:G5"/>
  </mergeCells>
  <pageMargins left="0.25" right="0.25" top="0.5" bottom="0.5" header="0.5" footer="0.5"/>
  <pageSetup paperSize="5" scale="63" fitToHeight="0" orientation="landscape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showGridLines="0" workbookViewId="0">
      <selection activeCell="H26" sqref="H26"/>
    </sheetView>
  </sheetViews>
  <sheetFormatPr defaultColWidth="12.19921875" defaultRowHeight="18" customHeight="1" x14ac:dyDescent="0.2"/>
  <cols>
    <col min="1" max="1" width="1" style="132" customWidth="1"/>
    <col min="2" max="2" width="13.19921875" style="132" customWidth="1"/>
    <col min="3" max="3" width="7.3984375" style="132" customWidth="1"/>
    <col min="4" max="4" width="6.09765625" style="132" customWidth="1"/>
    <col min="5" max="5" width="7.3984375" style="132" customWidth="1"/>
    <col min="6" max="6" width="6.59765625" style="132" customWidth="1"/>
    <col min="7" max="7" width="45.796875" style="132" customWidth="1"/>
    <col min="8" max="256" width="12.19921875" style="132" customWidth="1"/>
  </cols>
  <sheetData>
    <row r="1" spans="1:256" ht="23.45" customHeight="1" x14ac:dyDescent="0.2">
      <c r="A1" s="133"/>
      <c r="B1" s="346" t="s">
        <v>482</v>
      </c>
      <c r="C1" s="134"/>
      <c r="D1" s="134"/>
      <c r="E1" s="134"/>
      <c r="F1" s="135"/>
      <c r="G1" s="11"/>
    </row>
    <row r="2" spans="1:256" ht="25.15" customHeight="1" x14ac:dyDescent="0.2">
      <c r="A2" s="136"/>
      <c r="B2" s="137" t="s">
        <v>481</v>
      </c>
      <c r="C2" s="385" t="s">
        <v>307</v>
      </c>
      <c r="D2" s="386"/>
      <c r="E2" s="386"/>
      <c r="F2" s="387"/>
      <c r="G2" s="138"/>
    </row>
    <row r="3" spans="1:256" ht="44.45" customHeight="1" x14ac:dyDescent="0.2">
      <c r="A3" s="136"/>
      <c r="B3" s="139" t="s">
        <v>308</v>
      </c>
      <c r="C3" s="139" t="s">
        <v>309</v>
      </c>
      <c r="D3" s="139" t="s">
        <v>310</v>
      </c>
      <c r="E3" s="139" t="s">
        <v>311</v>
      </c>
      <c r="F3" s="139" t="s">
        <v>312</v>
      </c>
      <c r="G3" s="139" t="s">
        <v>313</v>
      </c>
    </row>
    <row r="4" spans="1:256" ht="20.45" customHeight="1" x14ac:dyDescent="0.2">
      <c r="A4" s="136"/>
      <c r="B4" s="140" t="s">
        <v>23</v>
      </c>
      <c r="C4" s="141">
        <f>'WWMDC Assessment 2016'!P6</f>
        <v>4365</v>
      </c>
      <c r="D4" s="141">
        <f>'WWMDC Assessment 2016'!Q6</f>
        <v>4365</v>
      </c>
      <c r="E4" s="141">
        <f>'WWMDC Assessment 2016'!R6</f>
        <v>4365</v>
      </c>
      <c r="F4" s="141">
        <f t="shared" ref="F4:F20" si="0">C4-E4</f>
        <v>0</v>
      </c>
      <c r="G4" s="142" t="s">
        <v>314</v>
      </c>
    </row>
    <row r="5" spans="1:256" ht="20.45" customHeight="1" x14ac:dyDescent="0.2">
      <c r="A5" s="136"/>
      <c r="B5" s="343" t="s">
        <v>34</v>
      </c>
      <c r="C5" s="344">
        <f>'WWMDC Assessment 2016'!P22</f>
        <v>1079.75</v>
      </c>
      <c r="D5" s="344">
        <f>'WWMDC Assessment 2016'!Q22</f>
        <v>1080</v>
      </c>
      <c r="E5" s="344">
        <f>'WWMDC Assessment 2016'!R22</f>
        <v>1080</v>
      </c>
      <c r="F5" s="344">
        <f t="shared" si="0"/>
        <v>-0.25</v>
      </c>
      <c r="G5" s="345" t="s">
        <v>315</v>
      </c>
    </row>
    <row r="6" spans="1:256" ht="20.45" customHeight="1" x14ac:dyDescent="0.2">
      <c r="A6" s="136"/>
      <c r="B6" s="143" t="s">
        <v>58</v>
      </c>
      <c r="C6" s="141">
        <f>'WWMDC Assessment 2016'!P33</f>
        <v>1101.25</v>
      </c>
      <c r="D6" s="144">
        <f>'WWMDC Assessment 2016'!Q33</f>
        <v>1222</v>
      </c>
      <c r="E6" s="144">
        <f>'WWMDC Assessment 2016'!R33</f>
        <v>1101</v>
      </c>
      <c r="F6" s="144">
        <f t="shared" si="0"/>
        <v>0.25</v>
      </c>
      <c r="G6" s="145" t="s">
        <v>316</v>
      </c>
    </row>
    <row r="7" spans="1:256" ht="20.45" customHeight="1" x14ac:dyDescent="0.2">
      <c r="A7" s="136"/>
      <c r="B7" s="140" t="s">
        <v>77</v>
      </c>
      <c r="C7" s="141">
        <f>'WWMDC Assessment 2016'!P46</f>
        <v>2483.75</v>
      </c>
      <c r="D7" s="141">
        <f>'WWMDC Assessment 2016'!Q46</f>
        <v>2784</v>
      </c>
      <c r="E7" s="141">
        <f>'WWMDC Assessment 2016'!R46</f>
        <v>2484</v>
      </c>
      <c r="F7" s="141">
        <f t="shared" si="0"/>
        <v>-0.25</v>
      </c>
      <c r="G7" s="142" t="s">
        <v>317</v>
      </c>
    </row>
    <row r="8" spans="1:256" ht="20.45" customHeight="1" x14ac:dyDescent="0.2">
      <c r="A8" s="136"/>
      <c r="B8" s="143" t="s">
        <v>91</v>
      </c>
      <c r="C8" s="141">
        <f>'WWMDC Assessment 2016'!P55</f>
        <v>4258</v>
      </c>
      <c r="D8" s="144">
        <f>'WWMDC Assessment 2016'!Q55</f>
        <v>3908</v>
      </c>
      <c r="E8" s="144">
        <f>'WWMDC Assessment 2016'!R55</f>
        <v>4258</v>
      </c>
      <c r="F8" s="144">
        <f t="shared" si="0"/>
        <v>0</v>
      </c>
      <c r="G8" s="145" t="s">
        <v>318</v>
      </c>
    </row>
    <row r="9" spans="1:256" ht="20.45" customHeight="1" x14ac:dyDescent="0.2">
      <c r="A9" s="136"/>
      <c r="B9" s="343" t="s">
        <v>100</v>
      </c>
      <c r="C9" s="344">
        <f>'WWMDC Assessment 2016'!P74</f>
        <v>1355.5500000000002</v>
      </c>
      <c r="D9" s="344">
        <f>'WWMDC Assessment 2016'!Q74</f>
        <v>1566</v>
      </c>
      <c r="E9" s="344">
        <f>'WWMDC Assessment 2016'!R74</f>
        <v>1355</v>
      </c>
      <c r="F9" s="344">
        <f t="shared" si="0"/>
        <v>0.5500000000001819</v>
      </c>
      <c r="G9" s="345" t="s">
        <v>319</v>
      </c>
    </row>
    <row r="10" spans="1:256" ht="20.45" customHeight="1" x14ac:dyDescent="0.2">
      <c r="A10" s="136"/>
      <c r="B10" s="140" t="s">
        <v>100</v>
      </c>
      <c r="C10" s="141">
        <f>'WWMDC Assessment 2016'!P78</f>
        <v>1320</v>
      </c>
      <c r="D10" s="141">
        <f>'WWMDC Assessment 2016'!Q78</f>
        <v>1320</v>
      </c>
      <c r="E10" s="141">
        <f>'WWMDC Assessment 2016'!R78</f>
        <v>1320</v>
      </c>
      <c r="F10" s="141">
        <f t="shared" si="0"/>
        <v>0</v>
      </c>
      <c r="G10" s="142" t="s">
        <v>320</v>
      </c>
    </row>
    <row r="11" spans="1:256" ht="20.45" customHeight="1" x14ac:dyDescent="0.2">
      <c r="A11" s="136"/>
      <c r="B11" s="140" t="s">
        <v>129</v>
      </c>
      <c r="C11" s="141">
        <f>'WWMDC Assessment 2016'!P83</f>
        <v>3850</v>
      </c>
      <c r="D11" s="141">
        <f>'WWMDC Assessment 2016'!Q83</f>
        <v>3850</v>
      </c>
      <c r="E11" s="141">
        <f>'WWMDC Assessment 2016'!R83</f>
        <v>3850</v>
      </c>
      <c r="F11" s="141">
        <f t="shared" si="0"/>
        <v>0</v>
      </c>
      <c r="G11" s="142" t="s">
        <v>321</v>
      </c>
    </row>
    <row r="12" spans="1:256" ht="20.45" customHeight="1" x14ac:dyDescent="0.2">
      <c r="A12" s="136"/>
      <c r="B12" s="140" t="s">
        <v>135</v>
      </c>
      <c r="C12" s="141">
        <f>'WWMDC Assessment 2016'!P96</f>
        <v>7120</v>
      </c>
      <c r="D12" s="141">
        <f>'WWMDC Assessment 2016'!Q96</f>
        <v>5370</v>
      </c>
      <c r="E12" s="141">
        <f>'WWMDC Assessment 2016'!R96</f>
        <v>7120</v>
      </c>
      <c r="F12" s="141">
        <f t="shared" si="0"/>
        <v>0</v>
      </c>
      <c r="G12" s="142" t="s">
        <v>322</v>
      </c>
    </row>
    <row r="13" spans="1:256" ht="20.45" customHeight="1" x14ac:dyDescent="0.2">
      <c r="A13" s="136"/>
      <c r="B13" s="143" t="s">
        <v>196</v>
      </c>
      <c r="C13" s="141">
        <f>'WWMDC Assessment 2016'!P152</f>
        <v>2213.7249999999999</v>
      </c>
      <c r="D13" s="144">
        <f>'WWMDC Assessment 2016'!Q152</f>
        <v>2536</v>
      </c>
      <c r="E13" s="144">
        <f>'WWMDC Assessment 2016'!R152</f>
        <v>1964</v>
      </c>
      <c r="F13" s="144">
        <f t="shared" si="0"/>
        <v>249.72499999999991</v>
      </c>
      <c r="G13" s="145" t="s">
        <v>323</v>
      </c>
    </row>
    <row r="14" spans="1:256" ht="20.45" customHeight="1" x14ac:dyDescent="0.2">
      <c r="A14" s="136"/>
      <c r="B14" s="343" t="s">
        <v>218</v>
      </c>
      <c r="C14" s="344">
        <f>'WWMDC Assessment 2016'!P176</f>
        <v>2274.75</v>
      </c>
      <c r="D14" s="344">
        <f>'WWMDC Assessment 2016'!Q176</f>
        <v>0</v>
      </c>
      <c r="E14" s="344">
        <f>'WWMDC Assessment 2016'!R176</f>
        <v>2275</v>
      </c>
      <c r="F14" s="344">
        <f t="shared" si="0"/>
        <v>-0.25</v>
      </c>
      <c r="G14" s="345" t="s">
        <v>324</v>
      </c>
    </row>
    <row r="15" spans="1:256" ht="20.45" customHeight="1" x14ac:dyDescent="0.2">
      <c r="A15" s="136"/>
      <c r="B15" s="343" t="s">
        <v>247</v>
      </c>
      <c r="C15" s="344">
        <f>'WWMDC Assessment 2016'!P194</f>
        <v>1229</v>
      </c>
      <c r="D15" s="344">
        <f>'WWMDC Assessment 2016'!Q194</f>
        <v>0</v>
      </c>
      <c r="E15" s="344">
        <f>'WWMDC Assessment 2016'!R194</f>
        <v>1229</v>
      </c>
      <c r="F15" s="344">
        <f t="shared" si="0"/>
        <v>0</v>
      </c>
      <c r="G15" s="345" t="s">
        <v>325</v>
      </c>
    </row>
    <row r="16" spans="1:256" ht="20.45" customHeight="1" x14ac:dyDescent="0.2">
      <c r="A16" s="136"/>
      <c r="B16" s="378" t="s">
        <v>489</v>
      </c>
      <c r="C16" s="379">
        <f>'WWMDC Assessment 2016'!P197</f>
        <v>0</v>
      </c>
      <c r="D16" s="379">
        <f>'WWMDC Assessment 2016'!Q197</f>
        <v>0</v>
      </c>
      <c r="E16" s="379">
        <f>'WWMDC Assessment 2016'!R197</f>
        <v>200</v>
      </c>
      <c r="F16" s="379">
        <f t="shared" ref="F16" si="1">C16-E16</f>
        <v>-200</v>
      </c>
      <c r="G16" s="380" t="s">
        <v>490</v>
      </c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1"/>
      <c r="BL16" s="291"/>
      <c r="BM16" s="291"/>
      <c r="BN16" s="291"/>
      <c r="BO16" s="291"/>
      <c r="BP16" s="291"/>
      <c r="BQ16" s="291"/>
      <c r="BR16" s="291"/>
      <c r="BS16" s="291"/>
      <c r="BT16" s="291"/>
      <c r="BU16" s="291"/>
      <c r="BV16" s="291"/>
      <c r="BW16" s="291"/>
      <c r="BX16" s="291"/>
      <c r="BY16" s="291"/>
      <c r="BZ16" s="291"/>
      <c r="CA16" s="291"/>
      <c r="CB16" s="291"/>
      <c r="CC16" s="291"/>
      <c r="CD16" s="291"/>
      <c r="CE16" s="291"/>
      <c r="CF16" s="291"/>
      <c r="CG16" s="291"/>
      <c r="CH16" s="291"/>
      <c r="CI16" s="291"/>
      <c r="CJ16" s="291"/>
      <c r="CK16" s="291"/>
      <c r="CL16" s="291"/>
      <c r="CM16" s="291"/>
      <c r="CN16" s="291"/>
      <c r="CO16" s="291"/>
      <c r="CP16" s="291"/>
      <c r="CQ16" s="291"/>
      <c r="CR16" s="291"/>
      <c r="CS16" s="291"/>
      <c r="CT16" s="291"/>
      <c r="CU16" s="291"/>
      <c r="CV16" s="291"/>
      <c r="CW16" s="291"/>
      <c r="CX16" s="291"/>
      <c r="CY16" s="291"/>
      <c r="CZ16" s="291"/>
      <c r="DA16" s="291"/>
      <c r="DB16" s="291"/>
      <c r="DC16" s="291"/>
      <c r="DD16" s="291"/>
      <c r="DE16" s="291"/>
      <c r="DF16" s="291"/>
      <c r="DG16" s="291"/>
      <c r="DH16" s="291"/>
      <c r="DI16" s="291"/>
      <c r="DJ16" s="291"/>
      <c r="DK16" s="291"/>
      <c r="DL16" s="291"/>
      <c r="DM16" s="291"/>
      <c r="DN16" s="291"/>
      <c r="DO16" s="291"/>
      <c r="DP16" s="291"/>
      <c r="DQ16" s="291"/>
      <c r="DR16" s="291"/>
      <c r="DS16" s="291"/>
      <c r="DT16" s="291"/>
      <c r="DU16" s="291"/>
      <c r="DV16" s="291"/>
      <c r="DW16" s="291"/>
      <c r="DX16" s="291"/>
      <c r="DY16" s="291"/>
      <c r="DZ16" s="291"/>
      <c r="EA16" s="291"/>
      <c r="EB16" s="291"/>
      <c r="EC16" s="291"/>
      <c r="ED16" s="291"/>
      <c r="EE16" s="291"/>
      <c r="EF16" s="291"/>
      <c r="EG16" s="291"/>
      <c r="EH16" s="291"/>
      <c r="EI16" s="291"/>
      <c r="EJ16" s="291"/>
      <c r="EK16" s="291"/>
      <c r="EL16" s="291"/>
      <c r="EM16" s="291"/>
      <c r="EN16" s="291"/>
      <c r="EO16" s="291"/>
      <c r="EP16" s="291"/>
      <c r="EQ16" s="291"/>
      <c r="ER16" s="291"/>
      <c r="ES16" s="291"/>
      <c r="ET16" s="291"/>
      <c r="EU16" s="291"/>
      <c r="EV16" s="291"/>
      <c r="EW16" s="291"/>
      <c r="EX16" s="291"/>
      <c r="EY16" s="291"/>
      <c r="EZ16" s="291"/>
      <c r="FA16" s="291"/>
      <c r="FB16" s="291"/>
      <c r="FC16" s="291"/>
      <c r="FD16" s="291"/>
      <c r="FE16" s="291"/>
      <c r="FF16" s="291"/>
      <c r="FG16" s="291"/>
      <c r="FH16" s="291"/>
      <c r="FI16" s="291"/>
      <c r="FJ16" s="291"/>
      <c r="FK16" s="291"/>
      <c r="FL16" s="291"/>
      <c r="FM16" s="291"/>
      <c r="FN16" s="291"/>
      <c r="FO16" s="291"/>
      <c r="FP16" s="291"/>
      <c r="FQ16" s="291"/>
      <c r="FR16" s="291"/>
      <c r="FS16" s="291"/>
      <c r="FT16" s="291"/>
      <c r="FU16" s="291"/>
      <c r="FV16" s="291"/>
      <c r="FW16" s="291"/>
      <c r="FX16" s="291"/>
      <c r="FY16" s="291"/>
      <c r="FZ16" s="291"/>
      <c r="GA16" s="291"/>
      <c r="GB16" s="291"/>
      <c r="GC16" s="291"/>
      <c r="GD16" s="291"/>
      <c r="GE16" s="291"/>
      <c r="GF16" s="291"/>
      <c r="GG16" s="291"/>
      <c r="GH16" s="291"/>
      <c r="GI16" s="291"/>
      <c r="GJ16" s="291"/>
      <c r="GK16" s="291"/>
      <c r="GL16" s="291"/>
      <c r="GM16" s="291"/>
      <c r="GN16" s="291"/>
      <c r="GO16" s="291"/>
      <c r="GP16" s="291"/>
      <c r="GQ16" s="291"/>
      <c r="GR16" s="291"/>
      <c r="GS16" s="291"/>
      <c r="GT16" s="291"/>
      <c r="GU16" s="291"/>
      <c r="GV16" s="291"/>
      <c r="GW16" s="291"/>
      <c r="GX16" s="291"/>
      <c r="GY16" s="291"/>
      <c r="GZ16" s="291"/>
      <c r="HA16" s="291"/>
      <c r="HB16" s="291"/>
      <c r="HC16" s="291"/>
      <c r="HD16" s="291"/>
      <c r="HE16" s="291"/>
      <c r="HF16" s="291"/>
      <c r="HG16" s="291"/>
      <c r="HH16" s="291"/>
      <c r="HI16" s="291"/>
      <c r="HJ16" s="291"/>
      <c r="HK16" s="291"/>
      <c r="HL16" s="291"/>
      <c r="HM16" s="291"/>
      <c r="HN16" s="291"/>
      <c r="HO16" s="291"/>
      <c r="HP16" s="291"/>
      <c r="HQ16" s="291"/>
      <c r="HR16" s="291"/>
      <c r="HS16" s="291"/>
      <c r="HT16" s="291"/>
      <c r="HU16" s="291"/>
      <c r="HV16" s="291"/>
      <c r="HW16" s="291"/>
      <c r="HX16" s="291"/>
      <c r="HY16" s="291"/>
      <c r="HZ16" s="291"/>
      <c r="IA16" s="291"/>
      <c r="IB16" s="291"/>
      <c r="IC16" s="291"/>
      <c r="ID16" s="291"/>
      <c r="IE16" s="291"/>
      <c r="IF16" s="291"/>
      <c r="IG16" s="291"/>
      <c r="IH16" s="291"/>
      <c r="II16" s="291"/>
      <c r="IJ16" s="291"/>
      <c r="IK16" s="291"/>
      <c r="IL16" s="291"/>
      <c r="IM16" s="291"/>
      <c r="IN16" s="291"/>
      <c r="IO16" s="291"/>
      <c r="IP16" s="291"/>
      <c r="IQ16" s="291"/>
      <c r="IR16" s="291"/>
      <c r="IS16" s="291"/>
      <c r="IT16" s="291"/>
      <c r="IU16" s="291"/>
      <c r="IV16" s="291"/>
    </row>
    <row r="17" spans="1:256" ht="20.45" customHeight="1" x14ac:dyDescent="0.2">
      <c r="A17" s="136"/>
      <c r="B17" s="146" t="s">
        <v>326</v>
      </c>
      <c r="C17" s="147">
        <f>SUM(C4:C16)</f>
        <v>32650.774999999998</v>
      </c>
      <c r="D17" s="147">
        <f t="shared" ref="D17:E17" si="2">SUM(D4:D16)</f>
        <v>28001</v>
      </c>
      <c r="E17" s="147">
        <f t="shared" si="2"/>
        <v>32601</v>
      </c>
      <c r="F17" s="147">
        <f t="shared" si="0"/>
        <v>49.774999999997817</v>
      </c>
      <c r="G17" s="137" t="s">
        <v>327</v>
      </c>
    </row>
    <row r="18" spans="1:256" ht="20.45" customHeight="1" x14ac:dyDescent="0.2">
      <c r="A18" s="136"/>
      <c r="B18" s="146" t="s">
        <v>328</v>
      </c>
      <c r="C18" s="148">
        <f t="shared" ref="C18:E18" si="3">220*42</f>
        <v>9240</v>
      </c>
      <c r="D18" s="148">
        <f t="shared" si="3"/>
        <v>9240</v>
      </c>
      <c r="E18" s="148">
        <f t="shared" si="3"/>
        <v>9240</v>
      </c>
      <c r="F18" s="147">
        <f t="shared" si="0"/>
        <v>0</v>
      </c>
      <c r="G18" s="148" t="s">
        <v>329</v>
      </c>
    </row>
    <row r="19" spans="1:256" ht="20.45" customHeight="1" x14ac:dyDescent="0.2">
      <c r="A19" s="136"/>
      <c r="B19" s="146" t="s">
        <v>272</v>
      </c>
      <c r="C19" s="137">
        <v>3000</v>
      </c>
      <c r="D19" s="137">
        <v>3000</v>
      </c>
      <c r="E19" s="137">
        <v>3000</v>
      </c>
      <c r="F19" s="147">
        <f t="shared" si="0"/>
        <v>0</v>
      </c>
      <c r="G19" s="149"/>
    </row>
    <row r="20" spans="1:256" ht="20.45" customHeight="1" x14ac:dyDescent="0.2">
      <c r="A20" s="136"/>
      <c r="B20" s="146" t="s">
        <v>330</v>
      </c>
      <c r="C20" s="150">
        <f>C17+C18+C19</f>
        <v>44890.774999999994</v>
      </c>
      <c r="D20" s="148">
        <f>D17+D18+D19</f>
        <v>40241</v>
      </c>
      <c r="E20" s="148">
        <f>E17+E18+E19</f>
        <v>44841</v>
      </c>
      <c r="F20" s="147">
        <f t="shared" si="0"/>
        <v>49.774999999994179</v>
      </c>
      <c r="G20" s="150"/>
    </row>
    <row r="21" spans="1:256" ht="28.9" customHeight="1" x14ac:dyDescent="0.2">
      <c r="A21" s="136"/>
      <c r="B21" s="146" t="s">
        <v>331</v>
      </c>
      <c r="C21" s="151">
        <v>0</v>
      </c>
      <c r="D21" s="137">
        <v>0</v>
      </c>
      <c r="E21" s="137">
        <v>0</v>
      </c>
      <c r="F21" s="137">
        <v>0</v>
      </c>
      <c r="G21" s="137" t="s">
        <v>332</v>
      </c>
    </row>
    <row r="22" spans="1:256" ht="28.9" customHeight="1" x14ac:dyDescent="0.2">
      <c r="A22" s="136"/>
      <c r="B22" s="146" t="s">
        <v>333</v>
      </c>
      <c r="C22" s="150">
        <f>C20+C21</f>
        <v>44890.774999999994</v>
      </c>
      <c r="D22" s="148">
        <f>D20+D21</f>
        <v>40241</v>
      </c>
      <c r="E22" s="148">
        <f>E20+E21</f>
        <v>44841</v>
      </c>
      <c r="F22" s="148">
        <f>F20+F21</f>
        <v>49.774999999994179</v>
      </c>
      <c r="G22" s="148" t="s">
        <v>334</v>
      </c>
    </row>
    <row r="23" spans="1:256" ht="19.899999999999999" customHeight="1" x14ac:dyDescent="0.2">
      <c r="A23" s="152"/>
      <c r="B23" s="146" t="s">
        <v>480</v>
      </c>
      <c r="C23" s="149">
        <f>C22-45000</f>
        <v>-109.22500000000582</v>
      </c>
      <c r="D23" s="149"/>
      <c r="E23" s="149">
        <f>E22-45000</f>
        <v>-159</v>
      </c>
      <c r="F23" s="149"/>
      <c r="G23" s="153"/>
    </row>
    <row r="24" spans="1:256" ht="29.45" customHeight="1" x14ac:dyDescent="0.2">
      <c r="A24" s="154"/>
      <c r="B24" s="146" t="s">
        <v>335</v>
      </c>
      <c r="C24" s="155" t="s">
        <v>336</v>
      </c>
      <c r="D24" s="145" t="s">
        <v>337</v>
      </c>
      <c r="E24" s="142" t="s">
        <v>338</v>
      </c>
      <c r="F24" s="149"/>
      <c r="G24" s="156"/>
    </row>
    <row r="26" spans="1:256" ht="18" customHeight="1" x14ac:dyDescent="0.2">
      <c r="A26" s="291"/>
      <c r="B26" s="291"/>
      <c r="C26" s="291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1"/>
      <c r="BL26" s="291"/>
      <c r="BM26" s="291"/>
      <c r="BN26" s="291"/>
      <c r="BO26" s="291"/>
      <c r="BP26" s="291"/>
      <c r="BQ26" s="291"/>
      <c r="BR26" s="291"/>
      <c r="BS26" s="291"/>
      <c r="BT26" s="291"/>
      <c r="BU26" s="291"/>
      <c r="BV26" s="291"/>
      <c r="BW26" s="291"/>
      <c r="BX26" s="291"/>
      <c r="BY26" s="291"/>
      <c r="BZ26" s="291"/>
      <c r="CA26" s="291"/>
      <c r="CB26" s="291"/>
      <c r="CC26" s="291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91"/>
      <c r="CP26" s="291"/>
      <c r="CQ26" s="291"/>
      <c r="CR26" s="291"/>
      <c r="CS26" s="291"/>
      <c r="CT26" s="291"/>
      <c r="CU26" s="291"/>
      <c r="CV26" s="291"/>
      <c r="CW26" s="291"/>
      <c r="CX26" s="291"/>
      <c r="CY26" s="291"/>
      <c r="CZ26" s="291"/>
      <c r="DA26" s="291"/>
      <c r="DB26" s="291"/>
      <c r="DC26" s="291"/>
      <c r="DD26" s="291"/>
      <c r="DE26" s="291"/>
      <c r="DF26" s="291"/>
      <c r="DG26" s="291"/>
      <c r="DH26" s="291"/>
      <c r="DI26" s="291"/>
      <c r="DJ26" s="291"/>
      <c r="DK26" s="291"/>
      <c r="DL26" s="291"/>
      <c r="DM26" s="291"/>
      <c r="DN26" s="291"/>
      <c r="DO26" s="291"/>
      <c r="DP26" s="291"/>
      <c r="DQ26" s="291"/>
      <c r="DR26" s="291"/>
      <c r="DS26" s="291"/>
      <c r="DT26" s="291"/>
      <c r="DU26" s="291"/>
      <c r="DV26" s="291"/>
      <c r="DW26" s="291"/>
      <c r="DX26" s="291"/>
      <c r="DY26" s="291"/>
      <c r="DZ26" s="291"/>
      <c r="EA26" s="291"/>
      <c r="EB26" s="291"/>
      <c r="EC26" s="291"/>
      <c r="ED26" s="291"/>
      <c r="EE26" s="291"/>
      <c r="EF26" s="291"/>
      <c r="EG26" s="291"/>
      <c r="EH26" s="291"/>
      <c r="EI26" s="291"/>
      <c r="EJ26" s="291"/>
      <c r="EK26" s="291"/>
      <c r="EL26" s="291"/>
      <c r="EM26" s="291"/>
      <c r="EN26" s="291"/>
      <c r="EO26" s="291"/>
      <c r="EP26" s="291"/>
      <c r="EQ26" s="291"/>
      <c r="ER26" s="291"/>
      <c r="ES26" s="291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1"/>
      <c r="FG26" s="291"/>
      <c r="FH26" s="291"/>
      <c r="FI26" s="291"/>
      <c r="FJ26" s="291"/>
      <c r="FK26" s="291"/>
      <c r="FL26" s="291"/>
      <c r="FM26" s="291"/>
      <c r="FN26" s="291"/>
      <c r="FO26" s="291"/>
      <c r="FP26" s="291"/>
      <c r="FQ26" s="291"/>
      <c r="FR26" s="291"/>
      <c r="FS26" s="291"/>
      <c r="FT26" s="291"/>
      <c r="FU26" s="291"/>
      <c r="FV26" s="291"/>
      <c r="FW26" s="291"/>
      <c r="FX26" s="291"/>
      <c r="FY26" s="291"/>
      <c r="FZ26" s="291"/>
      <c r="GA26" s="291"/>
      <c r="GB26" s="291"/>
      <c r="GC26" s="291"/>
      <c r="GD26" s="291"/>
      <c r="GE26" s="291"/>
      <c r="GF26" s="291"/>
      <c r="GG26" s="291"/>
      <c r="GH26" s="291"/>
      <c r="GI26" s="291"/>
      <c r="GJ26" s="291"/>
      <c r="GK26" s="291"/>
      <c r="GL26" s="291"/>
      <c r="GM26" s="291"/>
      <c r="GN26" s="291"/>
      <c r="GO26" s="291"/>
      <c r="GP26" s="291"/>
      <c r="GQ26" s="291"/>
      <c r="GR26" s="291"/>
      <c r="GS26" s="291"/>
      <c r="GT26" s="291"/>
      <c r="GU26" s="291"/>
      <c r="GV26" s="291"/>
      <c r="GW26" s="291"/>
      <c r="GX26" s="291"/>
      <c r="GY26" s="291"/>
      <c r="GZ26" s="291"/>
      <c r="HA26" s="291"/>
      <c r="HB26" s="291"/>
      <c r="HC26" s="291"/>
      <c r="HD26" s="291"/>
      <c r="HE26" s="291"/>
      <c r="HF26" s="291"/>
      <c r="HG26" s="291"/>
      <c r="HH26" s="291"/>
      <c r="HI26" s="291"/>
      <c r="HJ26" s="291"/>
      <c r="HK26" s="291"/>
      <c r="HL26" s="291"/>
      <c r="HM26" s="291"/>
      <c r="HN26" s="291"/>
      <c r="HO26" s="291"/>
      <c r="HP26" s="291"/>
      <c r="HQ26" s="291"/>
      <c r="HR26" s="291"/>
      <c r="HS26" s="291"/>
      <c r="HT26" s="291"/>
      <c r="HU26" s="291"/>
      <c r="HV26" s="291"/>
      <c r="HW26" s="291"/>
      <c r="HX26" s="291"/>
      <c r="HY26" s="291"/>
      <c r="HZ26" s="291"/>
      <c r="IA26" s="291"/>
      <c r="IB26" s="291"/>
      <c r="IC26" s="291"/>
      <c r="ID26" s="291"/>
      <c r="IE26" s="291"/>
      <c r="IF26" s="291"/>
      <c r="IG26" s="291"/>
      <c r="IH26" s="291"/>
      <c r="II26" s="291"/>
      <c r="IJ26" s="291"/>
      <c r="IK26" s="291"/>
      <c r="IL26" s="291"/>
      <c r="IM26" s="291"/>
      <c r="IN26" s="291"/>
      <c r="IO26" s="291"/>
      <c r="IP26" s="291"/>
      <c r="IQ26" s="291"/>
      <c r="IR26" s="291"/>
      <c r="IS26" s="291"/>
      <c r="IT26" s="291"/>
      <c r="IU26" s="291"/>
      <c r="IV26" s="291"/>
    </row>
    <row r="27" spans="1:256" ht="18" customHeight="1" x14ac:dyDescent="0.25">
      <c r="B27" s="352" t="s">
        <v>278</v>
      </c>
      <c r="C27" s="353"/>
      <c r="D27" s="354"/>
      <c r="E27" s="355">
        <f>SUM(E29:E38)</f>
        <v>2535</v>
      </c>
      <c r="F27" s="347" t="s">
        <v>279</v>
      </c>
      <c r="G27" s="311"/>
      <c r="H27" s="311"/>
    </row>
    <row r="28" spans="1:256" ht="18" customHeight="1" x14ac:dyDescent="0.25">
      <c r="A28" s="291"/>
      <c r="B28" s="352"/>
      <c r="C28" s="353"/>
      <c r="D28" s="354"/>
      <c r="E28" s="355"/>
      <c r="F28" s="347"/>
      <c r="G28" s="311"/>
      <c r="H28" s="31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91"/>
      <c r="AJ28" s="291"/>
      <c r="AK28" s="291"/>
      <c r="AL28" s="291"/>
      <c r="AM28" s="291"/>
      <c r="AN28" s="291"/>
      <c r="AO28" s="291"/>
      <c r="AP28" s="291"/>
      <c r="AQ28" s="291"/>
      <c r="AR28" s="291"/>
      <c r="AS28" s="291"/>
      <c r="AT28" s="291"/>
      <c r="AU28" s="291"/>
      <c r="AV28" s="291"/>
      <c r="AW28" s="291"/>
      <c r="AX28" s="291"/>
      <c r="AY28" s="291"/>
      <c r="AZ28" s="291"/>
      <c r="BA28" s="291"/>
      <c r="BB28" s="291"/>
      <c r="BC28" s="291"/>
      <c r="BD28" s="291"/>
      <c r="BE28" s="291"/>
      <c r="BF28" s="291"/>
      <c r="BG28" s="291"/>
      <c r="BH28" s="291"/>
      <c r="BI28" s="291"/>
      <c r="BJ28" s="291"/>
      <c r="BK28" s="291"/>
      <c r="BL28" s="291"/>
      <c r="BM28" s="291"/>
      <c r="BN28" s="291"/>
      <c r="BO28" s="291"/>
      <c r="BP28" s="291"/>
      <c r="BQ28" s="291"/>
      <c r="BR28" s="291"/>
      <c r="BS28" s="291"/>
      <c r="BT28" s="291"/>
      <c r="BU28" s="291"/>
      <c r="BV28" s="291"/>
      <c r="BW28" s="291"/>
      <c r="BX28" s="291"/>
      <c r="BY28" s="291"/>
      <c r="BZ28" s="291"/>
      <c r="CA28" s="291"/>
      <c r="CB28" s="291"/>
      <c r="CC28" s="291"/>
      <c r="CD28" s="291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91"/>
      <c r="CV28" s="291"/>
      <c r="CW28" s="291"/>
      <c r="CX28" s="291"/>
      <c r="CY28" s="291"/>
      <c r="CZ28" s="291"/>
      <c r="DA28" s="291"/>
      <c r="DB28" s="291"/>
      <c r="DC28" s="291"/>
      <c r="DD28" s="291"/>
      <c r="DE28" s="291"/>
      <c r="DF28" s="291"/>
      <c r="DG28" s="291"/>
      <c r="DH28" s="291"/>
      <c r="DI28" s="291"/>
      <c r="DJ28" s="291"/>
      <c r="DK28" s="291"/>
      <c r="DL28" s="291"/>
      <c r="DM28" s="291"/>
      <c r="DN28" s="291"/>
      <c r="DO28" s="291"/>
      <c r="DP28" s="291"/>
      <c r="DQ28" s="291"/>
      <c r="DR28" s="291"/>
      <c r="DS28" s="291"/>
      <c r="DT28" s="291"/>
      <c r="DU28" s="291"/>
      <c r="DV28" s="291"/>
      <c r="DW28" s="291"/>
      <c r="DX28" s="291"/>
      <c r="DY28" s="291"/>
      <c r="DZ28" s="291"/>
      <c r="EA28" s="291"/>
      <c r="EB28" s="291"/>
      <c r="EC28" s="291"/>
      <c r="ED28" s="291"/>
      <c r="EE28" s="291"/>
      <c r="EF28" s="291"/>
      <c r="EG28" s="291"/>
      <c r="EH28" s="291"/>
      <c r="EI28" s="291"/>
      <c r="EJ28" s="291"/>
      <c r="EK28" s="291"/>
      <c r="EL28" s="291"/>
      <c r="EM28" s="291"/>
      <c r="EN28" s="291"/>
      <c r="EO28" s="291"/>
      <c r="EP28" s="291"/>
      <c r="EQ28" s="291"/>
      <c r="ER28" s="291"/>
      <c r="ES28" s="291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1"/>
      <c r="FG28" s="291"/>
      <c r="FH28" s="291"/>
      <c r="FI28" s="291"/>
      <c r="FJ28" s="291"/>
      <c r="FK28" s="291"/>
      <c r="FL28" s="291"/>
      <c r="FM28" s="291"/>
      <c r="FN28" s="291"/>
      <c r="FO28" s="291"/>
      <c r="FP28" s="291"/>
      <c r="FQ28" s="291"/>
      <c r="FR28" s="291"/>
      <c r="FS28" s="291"/>
      <c r="FT28" s="291"/>
      <c r="FU28" s="291"/>
      <c r="FV28" s="291"/>
      <c r="FW28" s="291"/>
      <c r="FX28" s="291"/>
      <c r="FY28" s="291"/>
      <c r="FZ28" s="291"/>
      <c r="GA28" s="291"/>
      <c r="GB28" s="291"/>
      <c r="GC28" s="291"/>
      <c r="GD28" s="291"/>
      <c r="GE28" s="291"/>
      <c r="GF28" s="291"/>
      <c r="GG28" s="291"/>
      <c r="GH28" s="291"/>
      <c r="GI28" s="291"/>
      <c r="GJ28" s="291"/>
      <c r="GK28" s="291"/>
      <c r="GL28" s="291"/>
      <c r="GM28" s="291"/>
      <c r="GN28" s="291"/>
      <c r="GO28" s="291"/>
      <c r="GP28" s="291"/>
      <c r="GQ28" s="291"/>
      <c r="GR28" s="291"/>
      <c r="GS28" s="291"/>
      <c r="GT28" s="291"/>
      <c r="GU28" s="291"/>
      <c r="GV28" s="291"/>
      <c r="GW28" s="291"/>
      <c r="GX28" s="291"/>
      <c r="GY28" s="291"/>
      <c r="GZ28" s="291"/>
      <c r="HA28" s="291"/>
      <c r="HB28" s="291"/>
      <c r="HC28" s="291"/>
      <c r="HD28" s="291"/>
      <c r="HE28" s="291"/>
      <c r="HF28" s="291"/>
      <c r="HG28" s="291"/>
      <c r="HH28" s="291"/>
      <c r="HI28" s="291"/>
      <c r="HJ28" s="291"/>
      <c r="HK28" s="291"/>
      <c r="HL28" s="291"/>
      <c r="HM28" s="291"/>
      <c r="HN28" s="291"/>
      <c r="HO28" s="291"/>
      <c r="HP28" s="291"/>
      <c r="HQ28" s="291"/>
      <c r="HR28" s="291"/>
      <c r="HS28" s="291"/>
      <c r="HT28" s="291"/>
      <c r="HU28" s="291"/>
      <c r="HV28" s="291"/>
      <c r="HW28" s="291"/>
      <c r="HX28" s="291"/>
      <c r="HY28" s="291"/>
      <c r="HZ28" s="291"/>
      <c r="IA28" s="291"/>
      <c r="IB28" s="291"/>
      <c r="IC28" s="291"/>
      <c r="ID28" s="291"/>
      <c r="IE28" s="291"/>
      <c r="IF28" s="291"/>
      <c r="IG28" s="291"/>
      <c r="IH28" s="291"/>
      <c r="II28" s="291"/>
      <c r="IJ28" s="291"/>
      <c r="IK28" s="291"/>
      <c r="IL28" s="291"/>
      <c r="IM28" s="291"/>
      <c r="IN28" s="291"/>
      <c r="IO28" s="291"/>
      <c r="IP28" s="291"/>
      <c r="IQ28" s="291"/>
      <c r="IR28" s="291"/>
      <c r="IS28" s="291"/>
      <c r="IT28" s="291"/>
      <c r="IU28" s="291"/>
      <c r="IV28" s="291"/>
    </row>
    <row r="29" spans="1:256" ht="18" customHeight="1" x14ac:dyDescent="0.25">
      <c r="B29" s="356" t="s">
        <v>280</v>
      </c>
      <c r="C29" s="357">
        <v>200</v>
      </c>
      <c r="D29" s="357"/>
      <c r="E29" s="356"/>
      <c r="F29" s="348"/>
      <c r="G29" s="311"/>
      <c r="H29" s="311"/>
    </row>
    <row r="30" spans="1:256" ht="18" customHeight="1" x14ac:dyDescent="0.25">
      <c r="B30" s="356" t="s">
        <v>281</v>
      </c>
      <c r="C30" s="357">
        <v>50</v>
      </c>
      <c r="D30" s="356" t="s">
        <v>282</v>
      </c>
      <c r="E30" s="356">
        <f>35*C30</f>
        <v>1750</v>
      </c>
      <c r="F30" s="349" t="s">
        <v>461</v>
      </c>
      <c r="G30" s="311"/>
      <c r="H30" s="311"/>
    </row>
    <row r="31" spans="1:256" ht="18" customHeight="1" x14ac:dyDescent="0.25">
      <c r="B31" s="356" t="s">
        <v>284</v>
      </c>
      <c r="C31" s="357"/>
      <c r="D31" s="357"/>
      <c r="E31" s="356">
        <f>250</f>
        <v>250</v>
      </c>
      <c r="F31" s="349" t="s">
        <v>479</v>
      </c>
      <c r="G31" s="311"/>
      <c r="H31" s="311"/>
    </row>
    <row r="32" spans="1:256" ht="18" customHeight="1" x14ac:dyDescent="0.25">
      <c r="B32" s="356" t="s">
        <v>286</v>
      </c>
      <c r="C32" s="357"/>
      <c r="D32" s="357"/>
      <c r="E32" s="356"/>
      <c r="F32" s="348" t="s">
        <v>478</v>
      </c>
      <c r="G32" s="311"/>
      <c r="H32" s="311"/>
    </row>
    <row r="33" spans="2:8" ht="18" customHeight="1" x14ac:dyDescent="0.25">
      <c r="B33" s="356" t="s">
        <v>287</v>
      </c>
      <c r="C33" s="357"/>
      <c r="D33" s="357"/>
      <c r="E33" s="356">
        <v>-500</v>
      </c>
      <c r="F33" s="349" t="s">
        <v>462</v>
      </c>
      <c r="G33" s="311"/>
      <c r="H33" s="311"/>
    </row>
    <row r="34" spans="2:8" ht="18" customHeight="1" x14ac:dyDescent="0.25">
      <c r="B34" s="356" t="s">
        <v>289</v>
      </c>
      <c r="C34" s="357"/>
      <c r="D34" s="357"/>
      <c r="E34" s="356"/>
      <c r="F34" s="348"/>
      <c r="G34" s="311"/>
      <c r="H34" s="311"/>
    </row>
    <row r="35" spans="2:8" ht="18" customHeight="1" x14ac:dyDescent="0.25">
      <c r="B35" s="356" t="s">
        <v>290</v>
      </c>
      <c r="C35" s="322"/>
      <c r="D35" s="322"/>
      <c r="E35" s="357">
        <v>300</v>
      </c>
      <c r="F35" s="349" t="s">
        <v>463</v>
      </c>
      <c r="G35" s="311"/>
      <c r="H35" s="311"/>
    </row>
    <row r="36" spans="2:8" ht="18" customHeight="1" x14ac:dyDescent="0.35">
      <c r="B36" s="358" t="s">
        <v>291</v>
      </c>
      <c r="C36" s="322"/>
      <c r="D36" s="322"/>
      <c r="E36" s="359">
        <f>800-65</f>
        <v>735</v>
      </c>
      <c r="F36" s="349" t="s">
        <v>464</v>
      </c>
      <c r="G36" s="311"/>
      <c r="H36" s="311"/>
    </row>
    <row r="37" spans="2:8" ht="18" customHeight="1" x14ac:dyDescent="0.25">
      <c r="B37" s="322"/>
      <c r="C37" s="322"/>
      <c r="D37" s="322"/>
      <c r="E37" s="323"/>
      <c r="F37" s="350"/>
      <c r="G37" s="351"/>
      <c r="H37" s="351"/>
    </row>
  </sheetData>
  <mergeCells count="1">
    <mergeCell ref="C2:F2"/>
  </mergeCells>
  <pageMargins left="0.75" right="0.75" top="1" bottom="1" header="0.5" footer="0.5"/>
  <pageSetup scale="66" orientation="portrait" r:id="rId1"/>
  <headerFooter>
    <oddFooter>&amp;L&amp;"Helvetica,Regular"&amp;12&amp;K000000	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85"/>
  <sheetViews>
    <sheetView showGridLines="0" workbookViewId="0"/>
  </sheetViews>
  <sheetFormatPr defaultColWidth="7.796875" defaultRowHeight="15" customHeight="1" x14ac:dyDescent="0.2"/>
  <cols>
    <col min="1" max="1" width="7.19921875" style="157" customWidth="1"/>
    <col min="2" max="3" width="9.59765625" style="157" customWidth="1"/>
    <col min="4" max="4" width="6" style="157" customWidth="1"/>
    <col min="5" max="5" width="8.59765625" style="157" customWidth="1"/>
    <col min="6" max="6" width="6.796875" style="157" customWidth="1"/>
    <col min="7" max="7" width="15.09765625" style="157" customWidth="1"/>
    <col min="8" max="8" width="7.19921875" style="157" customWidth="1"/>
    <col min="9" max="9" width="8.796875" style="157" customWidth="1"/>
    <col min="10" max="10" width="6.796875" style="157" customWidth="1"/>
    <col min="11" max="11" width="2.19921875" style="157" customWidth="1"/>
    <col min="12" max="12" width="4.59765625" style="157" customWidth="1"/>
    <col min="13" max="13" width="9.796875" style="157" customWidth="1"/>
    <col min="14" max="14" width="6.59765625" style="157" customWidth="1"/>
    <col min="15" max="15" width="4.5" style="157" customWidth="1"/>
    <col min="16" max="25" width="6" style="157" customWidth="1"/>
    <col min="26" max="26" width="33.796875" style="157" customWidth="1"/>
    <col min="27" max="27" width="5.3984375" style="157" customWidth="1"/>
    <col min="28" max="256" width="7.796875" style="157" customWidth="1"/>
  </cols>
  <sheetData>
    <row r="1" spans="1:29" ht="18" customHeight="1" x14ac:dyDescent="0.3">
      <c r="A1" s="158" t="s">
        <v>339</v>
      </c>
      <c r="B1" s="159"/>
      <c r="C1" s="159"/>
      <c r="D1" s="160"/>
      <c r="E1" s="161"/>
      <c r="F1" s="162"/>
      <c r="G1" s="6"/>
      <c r="H1" s="163"/>
      <c r="I1" s="6"/>
      <c r="J1" s="163"/>
      <c r="K1" s="164"/>
      <c r="L1" s="165"/>
      <c r="M1" s="164"/>
      <c r="N1" s="163"/>
      <c r="O1" s="6"/>
      <c r="P1" s="6"/>
      <c r="Q1" s="6"/>
      <c r="R1" s="6"/>
      <c r="S1" s="6"/>
      <c r="T1" s="6"/>
      <c r="U1" s="6"/>
      <c r="V1" s="6"/>
      <c r="W1" s="6"/>
      <c r="X1" s="6"/>
      <c r="Y1" s="158" t="s">
        <v>339</v>
      </c>
      <c r="Z1" s="6"/>
      <c r="AA1" s="6"/>
      <c r="AB1" s="6"/>
      <c r="AC1" s="6"/>
    </row>
    <row r="2" spans="1:29" ht="18" customHeight="1" x14ac:dyDescent="0.3">
      <c r="A2" s="166" t="s">
        <v>340</v>
      </c>
      <c r="B2" s="167"/>
      <c r="C2" s="167"/>
      <c r="D2" s="168"/>
      <c r="E2" s="169"/>
      <c r="F2" s="169"/>
      <c r="G2" s="170"/>
      <c r="H2" s="163"/>
      <c r="I2" s="6"/>
      <c r="J2" s="163"/>
      <c r="K2" s="164"/>
      <c r="L2" s="165"/>
      <c r="M2" s="164"/>
      <c r="N2" s="163"/>
      <c r="O2" s="6"/>
      <c r="P2" s="6"/>
      <c r="Q2" s="6"/>
      <c r="R2" s="6"/>
      <c r="S2" s="6"/>
      <c r="T2" s="6"/>
      <c r="U2" s="6"/>
      <c r="V2" s="6"/>
      <c r="W2" s="6"/>
      <c r="X2" s="171"/>
      <c r="Y2" s="167"/>
      <c r="Z2" s="172"/>
      <c r="AA2" s="6"/>
      <c r="AB2" s="6"/>
      <c r="AC2" s="6"/>
    </row>
    <row r="3" spans="1:29" ht="18" customHeight="1" x14ac:dyDescent="0.3">
      <c r="A3" s="173" t="s">
        <v>341</v>
      </c>
      <c r="B3" s="174"/>
      <c r="C3" s="174"/>
      <c r="D3" s="175"/>
      <c r="E3" s="176"/>
      <c r="F3" s="177"/>
      <c r="G3" s="178"/>
      <c r="H3" s="161"/>
      <c r="I3" s="178"/>
      <c r="J3" s="161"/>
      <c r="K3" s="179"/>
      <c r="L3" s="180"/>
      <c r="M3" s="179"/>
      <c r="N3" s="161"/>
      <c r="O3" s="178"/>
      <c r="P3" s="6"/>
      <c r="Q3" s="6"/>
      <c r="R3" s="6"/>
      <c r="S3" s="6"/>
      <c r="T3" s="6"/>
      <c r="U3" s="6"/>
      <c r="V3" s="6"/>
      <c r="W3" s="6"/>
      <c r="X3" s="6"/>
      <c r="Y3" s="174"/>
      <c r="Z3" s="6"/>
      <c r="AA3" s="6"/>
      <c r="AB3" s="6"/>
      <c r="AC3" s="6"/>
    </row>
    <row r="4" spans="1:29" ht="19.899999999999999" customHeight="1" x14ac:dyDescent="0.35">
      <c r="A4" s="181" t="s">
        <v>342</v>
      </c>
      <c r="B4" s="182"/>
      <c r="C4" s="182"/>
      <c r="D4" s="183"/>
      <c r="E4" s="184"/>
      <c r="F4" s="185"/>
      <c r="G4" s="183"/>
      <c r="H4" s="184"/>
      <c r="I4" s="183"/>
      <c r="J4" s="184"/>
      <c r="K4" s="186"/>
      <c r="L4" s="187"/>
      <c r="M4" s="186"/>
      <c r="N4" s="184"/>
      <c r="O4" s="184"/>
      <c r="P4" s="172"/>
      <c r="Q4" s="6"/>
      <c r="R4" s="6"/>
      <c r="S4" s="6"/>
      <c r="T4" s="6"/>
      <c r="U4" s="6"/>
      <c r="V4" s="6"/>
      <c r="W4" s="6"/>
      <c r="X4" s="171"/>
      <c r="Y4" s="188"/>
      <c r="Z4" s="172"/>
      <c r="AA4" s="6"/>
      <c r="AB4" s="6"/>
      <c r="AC4" s="6"/>
    </row>
    <row r="5" spans="1:29" ht="18.399999999999999" customHeight="1" x14ac:dyDescent="0.25">
      <c r="A5" s="189"/>
      <c r="B5" s="189">
        <f t="shared" ref="B5:B16" si="0">N5</f>
        <v>0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78"/>
      <c r="Q5" s="178"/>
      <c r="R5" s="178"/>
      <c r="S5" s="178"/>
      <c r="T5" s="178"/>
      <c r="U5" s="178"/>
      <c r="V5" s="178"/>
      <c r="W5" s="178"/>
      <c r="X5" s="178"/>
      <c r="Y5" s="189"/>
      <c r="Z5" s="178"/>
      <c r="AA5" s="178"/>
      <c r="AB5" s="178"/>
      <c r="AC5" s="178"/>
    </row>
    <row r="6" spans="1:29" ht="42" customHeight="1" x14ac:dyDescent="0.25">
      <c r="A6" s="190" t="s">
        <v>343</v>
      </c>
      <c r="B6" s="191" t="str">
        <f t="shared" si="0"/>
        <v>Title V Capacity (gpd)</v>
      </c>
      <c r="C6" s="192" t="s">
        <v>345</v>
      </c>
      <c r="D6" s="192" t="s">
        <v>346</v>
      </c>
      <c r="E6" s="192" t="s">
        <v>344</v>
      </c>
      <c r="F6" s="193" t="s">
        <v>347</v>
      </c>
      <c r="G6" s="192" t="s">
        <v>348</v>
      </c>
      <c r="H6" s="192" t="s">
        <v>349</v>
      </c>
      <c r="I6" s="192" t="s">
        <v>350</v>
      </c>
      <c r="J6" s="192" t="s">
        <v>351</v>
      </c>
      <c r="K6" s="194"/>
      <c r="L6" s="195"/>
      <c r="M6" s="194"/>
      <c r="N6" s="192" t="s">
        <v>344</v>
      </c>
      <c r="O6" s="196" t="s">
        <v>352</v>
      </c>
      <c r="P6" s="197" t="s">
        <v>353</v>
      </c>
      <c r="Q6" s="198" t="s">
        <v>354</v>
      </c>
      <c r="R6" s="199"/>
      <c r="S6" s="199"/>
      <c r="T6" s="199"/>
      <c r="U6" s="199"/>
      <c r="V6" s="199"/>
      <c r="W6" s="199"/>
      <c r="X6" s="199"/>
      <c r="Y6" s="192" t="s">
        <v>343</v>
      </c>
      <c r="Z6" s="200" t="s">
        <v>20</v>
      </c>
      <c r="AA6" s="201"/>
      <c r="AB6" s="201"/>
      <c r="AC6" s="202"/>
    </row>
    <row r="7" spans="1:29" ht="28.15" customHeight="1" x14ac:dyDescent="0.25">
      <c r="A7" s="203"/>
      <c r="B7" s="204">
        <f t="shared" si="0"/>
        <v>0</v>
      </c>
      <c r="C7" s="205"/>
      <c r="D7" s="206"/>
      <c r="E7" s="207"/>
      <c r="F7" s="208"/>
      <c r="G7" s="209" t="s">
        <v>355</v>
      </c>
      <c r="H7" s="207"/>
      <c r="I7" s="210"/>
      <c r="J7" s="207"/>
      <c r="K7" s="205"/>
      <c r="L7" s="211"/>
      <c r="M7" s="205"/>
      <c r="N7" s="207"/>
      <c r="O7" s="196" t="s">
        <v>356</v>
      </c>
      <c r="P7" s="212">
        <v>41213</v>
      </c>
      <c r="Q7" s="212">
        <v>41330</v>
      </c>
      <c r="R7" s="212">
        <v>41396</v>
      </c>
      <c r="S7" s="212">
        <v>41417</v>
      </c>
      <c r="T7" s="212">
        <v>41470</v>
      </c>
      <c r="U7" s="212">
        <v>41481</v>
      </c>
      <c r="V7" s="212">
        <v>41488</v>
      </c>
      <c r="W7" s="212">
        <v>41548</v>
      </c>
      <c r="X7" s="212">
        <v>41677</v>
      </c>
      <c r="Y7" s="205"/>
      <c r="Z7" s="213"/>
      <c r="AA7" s="201"/>
      <c r="AB7" s="201"/>
      <c r="AC7" s="202"/>
    </row>
    <row r="8" spans="1:29" ht="18" customHeight="1" x14ac:dyDescent="0.3">
      <c r="A8" s="214" t="s">
        <v>357</v>
      </c>
      <c r="B8" s="204">
        <f t="shared" si="0"/>
        <v>0</v>
      </c>
      <c r="C8" s="167"/>
      <c r="D8" s="215">
        <f>SUM(D16:D72)</f>
        <v>4876.2045832482818</v>
      </c>
      <c r="E8" s="216">
        <f>E70+E17+E18+E26+E27+E35+E41+E58+E60</f>
        <v>14033.75</v>
      </c>
      <c r="F8" s="217">
        <f>D8/E8</f>
        <v>0.34746269409447095</v>
      </c>
      <c r="G8" s="218"/>
      <c r="H8" s="219"/>
      <c r="I8" s="219"/>
      <c r="J8" s="219"/>
      <c r="K8" s="219"/>
      <c r="L8" s="219"/>
      <c r="M8" s="219"/>
      <c r="N8" s="219"/>
      <c r="O8" s="220"/>
      <c r="P8" s="220"/>
      <c r="Q8" s="220"/>
      <c r="R8" s="220"/>
      <c r="S8" s="220"/>
      <c r="T8" s="220"/>
      <c r="U8" s="220"/>
      <c r="V8" s="220"/>
      <c r="W8" s="220"/>
      <c r="X8" s="221"/>
      <c r="Y8" s="222"/>
      <c r="Z8" s="223"/>
      <c r="AA8" s="220"/>
      <c r="AB8" s="220"/>
      <c r="AC8" s="220"/>
    </row>
    <row r="9" spans="1:29" ht="19.149999999999999" customHeight="1" x14ac:dyDescent="0.25">
      <c r="A9" s="224" t="s">
        <v>158</v>
      </c>
      <c r="B9" s="225">
        <f t="shared" si="0"/>
        <v>1000</v>
      </c>
      <c r="C9" s="221"/>
      <c r="D9" s="226" t="s">
        <v>358</v>
      </c>
      <c r="E9" s="227">
        <f t="shared" ref="E9:E21" si="1">N9</f>
        <v>1000</v>
      </c>
      <c r="F9" s="228"/>
      <c r="G9" s="229" t="s">
        <v>359</v>
      </c>
      <c r="H9" s="230">
        <v>5000</v>
      </c>
      <c r="I9" s="231" t="s">
        <v>323</v>
      </c>
      <c r="J9" s="33">
        <v>4</v>
      </c>
      <c r="K9" s="232" t="s">
        <v>360</v>
      </c>
      <c r="L9" s="39">
        <v>250</v>
      </c>
      <c r="M9" s="232" t="s">
        <v>361</v>
      </c>
      <c r="N9" s="33">
        <f>J9*L9</f>
        <v>1000</v>
      </c>
      <c r="O9" s="6"/>
      <c r="P9" s="233"/>
      <c r="Q9" s="233"/>
      <c r="R9" s="233"/>
      <c r="S9" s="233"/>
      <c r="T9" s="233"/>
      <c r="U9" s="233"/>
      <c r="V9" s="233"/>
      <c r="W9" s="233"/>
      <c r="X9" s="233"/>
      <c r="Y9" s="224" t="s">
        <v>323</v>
      </c>
      <c r="Z9" s="6"/>
      <c r="AA9" s="6"/>
      <c r="AB9" s="6"/>
      <c r="AC9" s="6"/>
    </row>
    <row r="10" spans="1:29" ht="19.149999999999999" customHeight="1" x14ac:dyDescent="0.25">
      <c r="A10" s="6"/>
      <c r="B10" s="33">
        <f t="shared" si="0"/>
        <v>150</v>
      </c>
      <c r="C10" s="6"/>
      <c r="D10" s="234"/>
      <c r="E10" s="235">
        <f t="shared" si="1"/>
        <v>150</v>
      </c>
      <c r="F10" s="236"/>
      <c r="G10" s="229" t="s">
        <v>362</v>
      </c>
      <c r="H10" s="230">
        <v>3000</v>
      </c>
      <c r="I10" s="231" t="s">
        <v>363</v>
      </c>
      <c r="J10" s="33">
        <v>3000</v>
      </c>
      <c r="K10" s="232" t="s">
        <v>360</v>
      </c>
      <c r="L10" s="39">
        <v>50</v>
      </c>
      <c r="M10" s="232" t="s">
        <v>364</v>
      </c>
      <c r="N10" s="33">
        <f>J10/1000*L10</f>
        <v>150</v>
      </c>
      <c r="O10" s="6"/>
      <c r="P10" s="233"/>
      <c r="Q10" s="233"/>
      <c r="R10" s="233"/>
      <c r="S10" s="233"/>
      <c r="T10" s="233"/>
      <c r="U10" s="233"/>
      <c r="V10" s="233"/>
      <c r="W10" s="233"/>
      <c r="X10" s="233"/>
      <c r="Y10" s="6"/>
      <c r="Z10" s="6"/>
      <c r="AA10" s="6"/>
      <c r="AB10" s="6"/>
      <c r="AC10" s="6"/>
    </row>
    <row r="11" spans="1:29" ht="19.149999999999999" customHeight="1" x14ac:dyDescent="0.25">
      <c r="A11" s="6"/>
      <c r="B11" s="33">
        <f t="shared" si="0"/>
        <v>65</v>
      </c>
      <c r="C11" s="6"/>
      <c r="D11" s="77"/>
      <c r="E11" s="82">
        <f t="shared" si="1"/>
        <v>65</v>
      </c>
      <c r="F11" s="237"/>
      <c r="G11" s="229" t="s">
        <v>365</v>
      </c>
      <c r="H11" s="230">
        <v>1300</v>
      </c>
      <c r="I11" s="231" t="s">
        <v>363</v>
      </c>
      <c r="J11" s="33">
        <v>1300</v>
      </c>
      <c r="K11" s="232" t="s">
        <v>360</v>
      </c>
      <c r="L11" s="39">
        <v>50</v>
      </c>
      <c r="M11" s="232" t="s">
        <v>364</v>
      </c>
      <c r="N11" s="33">
        <f>J11/1000*L11</f>
        <v>65</v>
      </c>
      <c r="O11" s="6"/>
      <c r="P11" s="233"/>
      <c r="Q11" s="233"/>
      <c r="R11" s="233"/>
      <c r="S11" s="233"/>
      <c r="T11" s="233"/>
      <c r="U11" s="233"/>
      <c r="V11" s="233"/>
      <c r="W11" s="233"/>
      <c r="X11" s="233"/>
      <c r="Y11" s="6"/>
      <c r="Z11" s="6"/>
      <c r="AA11" s="6"/>
      <c r="AB11" s="6"/>
      <c r="AC11" s="6"/>
    </row>
    <row r="12" spans="1:29" ht="19.149999999999999" customHeight="1" x14ac:dyDescent="0.25">
      <c r="A12" s="6"/>
      <c r="B12" s="33">
        <f t="shared" si="0"/>
        <v>750</v>
      </c>
      <c r="C12" s="6"/>
      <c r="D12" s="77"/>
      <c r="E12" s="82">
        <f t="shared" si="1"/>
        <v>750</v>
      </c>
      <c r="F12" s="237"/>
      <c r="G12" s="229" t="s">
        <v>366</v>
      </c>
      <c r="H12" s="230">
        <v>5250</v>
      </c>
      <c r="I12" s="231" t="s">
        <v>323</v>
      </c>
      <c r="J12" s="33">
        <v>3</v>
      </c>
      <c r="K12" s="232" t="s">
        <v>360</v>
      </c>
      <c r="L12" s="39">
        <v>250</v>
      </c>
      <c r="M12" s="232" t="s">
        <v>361</v>
      </c>
      <c r="N12" s="33">
        <f>J12*L12</f>
        <v>750</v>
      </c>
      <c r="O12" s="6"/>
      <c r="P12" s="233"/>
      <c r="Q12" s="233"/>
      <c r="R12" s="233"/>
      <c r="S12" s="233"/>
      <c r="T12" s="233"/>
      <c r="U12" s="233"/>
      <c r="V12" s="233"/>
      <c r="W12" s="233"/>
      <c r="X12" s="233"/>
      <c r="Y12" s="6"/>
      <c r="Z12" s="6"/>
      <c r="AA12" s="6"/>
      <c r="AB12" s="6"/>
      <c r="AC12" s="6"/>
    </row>
    <row r="13" spans="1:29" ht="19.149999999999999" customHeight="1" x14ac:dyDescent="0.25">
      <c r="A13" s="6"/>
      <c r="B13" s="33">
        <f t="shared" si="0"/>
        <v>500</v>
      </c>
      <c r="C13" s="6"/>
      <c r="D13" s="77"/>
      <c r="E13" s="82">
        <f t="shared" si="1"/>
        <v>500</v>
      </c>
      <c r="F13" s="237"/>
      <c r="G13" s="229" t="s">
        <v>366</v>
      </c>
      <c r="H13" s="230">
        <v>2250</v>
      </c>
      <c r="I13" s="231" t="s">
        <v>323</v>
      </c>
      <c r="J13" s="33">
        <v>2</v>
      </c>
      <c r="K13" s="232" t="s">
        <v>360</v>
      </c>
      <c r="L13" s="39">
        <v>250</v>
      </c>
      <c r="M13" s="232" t="s">
        <v>361</v>
      </c>
      <c r="N13" s="33">
        <f>J13*L13</f>
        <v>500</v>
      </c>
      <c r="O13" s="6"/>
      <c r="P13" s="233"/>
      <c r="Q13" s="233"/>
      <c r="R13" s="233"/>
      <c r="S13" s="233"/>
      <c r="T13" s="233"/>
      <c r="U13" s="233"/>
      <c r="V13" s="233"/>
      <c r="W13" s="233"/>
      <c r="X13" s="233"/>
      <c r="Y13" s="6"/>
      <c r="Z13" s="6"/>
      <c r="AA13" s="6"/>
      <c r="AB13" s="6"/>
      <c r="AC13" s="6"/>
    </row>
    <row r="14" spans="1:29" ht="19.149999999999999" customHeight="1" x14ac:dyDescent="0.25">
      <c r="A14" s="6"/>
      <c r="B14" s="33">
        <f t="shared" si="0"/>
        <v>71</v>
      </c>
      <c r="C14" s="6"/>
      <c r="D14" s="77"/>
      <c r="E14" s="82">
        <f t="shared" si="1"/>
        <v>71</v>
      </c>
      <c r="F14" s="238"/>
      <c r="G14" s="239" t="s">
        <v>367</v>
      </c>
      <c r="H14" s="14"/>
      <c r="I14" s="178"/>
      <c r="J14" s="178"/>
      <c r="K14" s="178"/>
      <c r="L14" s="178"/>
      <c r="M14" s="178"/>
      <c r="N14" s="53">
        <v>71</v>
      </c>
      <c r="O14" s="178"/>
      <c r="P14" s="233"/>
      <c r="Q14" s="233"/>
      <c r="R14" s="233"/>
      <c r="S14" s="233"/>
      <c r="T14" s="233"/>
      <c r="U14" s="233"/>
      <c r="V14" s="233"/>
      <c r="W14" s="233"/>
      <c r="X14" s="233"/>
      <c r="Y14" s="6"/>
      <c r="Z14" s="6"/>
      <c r="AA14" s="6"/>
      <c r="AB14" s="6"/>
      <c r="AC14" s="6"/>
    </row>
    <row r="15" spans="1:29" ht="19.149999999999999" customHeight="1" x14ac:dyDescent="0.25">
      <c r="A15" s="6"/>
      <c r="B15" s="240">
        <f t="shared" si="0"/>
        <v>2536</v>
      </c>
      <c r="C15" s="6"/>
      <c r="D15" s="77"/>
      <c r="E15" s="82">
        <f t="shared" si="1"/>
        <v>2536</v>
      </c>
      <c r="F15" s="237"/>
      <c r="G15" s="241" t="s">
        <v>368</v>
      </c>
      <c r="H15" s="242">
        <f>SUM(H9:H14)</f>
        <v>16800</v>
      </c>
      <c r="I15" s="243"/>
      <c r="J15" s="244"/>
      <c r="K15" s="227"/>
      <c r="L15" s="245"/>
      <c r="M15" s="227"/>
      <c r="N15" s="246">
        <f>SUM(N9:N14)</f>
        <v>2536</v>
      </c>
      <c r="O15" s="243"/>
      <c r="P15" s="247"/>
      <c r="Q15" s="233"/>
      <c r="R15" s="233"/>
      <c r="S15" s="233"/>
      <c r="T15" s="233"/>
      <c r="U15" s="233"/>
      <c r="V15" s="233"/>
      <c r="W15" s="233"/>
      <c r="X15" s="233"/>
      <c r="Y15" s="6"/>
      <c r="Z15" s="6"/>
      <c r="AA15" s="6"/>
      <c r="AB15" s="6"/>
      <c r="AC15" s="6"/>
    </row>
    <row r="16" spans="1:29" ht="19.149999999999999" customHeight="1" x14ac:dyDescent="0.25">
      <c r="A16" s="232" t="s">
        <v>34</v>
      </c>
      <c r="B16" s="248">
        <f t="shared" si="0"/>
        <v>100</v>
      </c>
      <c r="C16" s="178"/>
      <c r="D16" s="249"/>
      <c r="E16" s="82">
        <f t="shared" si="1"/>
        <v>100</v>
      </c>
      <c r="F16" s="250"/>
      <c r="G16" s="251" t="s">
        <v>369</v>
      </c>
      <c r="H16" s="252">
        <v>2000</v>
      </c>
      <c r="I16" s="253" t="s">
        <v>363</v>
      </c>
      <c r="J16" s="244">
        <v>2000</v>
      </c>
      <c r="K16" s="226" t="s">
        <v>360</v>
      </c>
      <c r="L16" s="245">
        <v>50</v>
      </c>
      <c r="M16" s="226" t="s">
        <v>364</v>
      </c>
      <c r="N16" s="252">
        <f>J16/1000*L16</f>
        <v>100</v>
      </c>
      <c r="O16" s="243"/>
      <c r="P16" s="247"/>
      <c r="Q16" s="233"/>
      <c r="R16" s="254"/>
      <c r="S16" s="233"/>
      <c r="T16" s="233"/>
      <c r="U16" s="254"/>
      <c r="V16" s="254"/>
      <c r="W16" s="254"/>
      <c r="X16" s="254"/>
      <c r="Y16" s="232" t="s">
        <v>34</v>
      </c>
      <c r="Z16" s="6"/>
      <c r="AA16" s="6"/>
      <c r="AB16" s="6"/>
      <c r="AC16" s="6"/>
    </row>
    <row r="17" spans="1:29" ht="19.149999999999999" customHeight="1" x14ac:dyDescent="0.25">
      <c r="A17" s="171"/>
      <c r="B17" s="389"/>
      <c r="C17" s="394" t="s">
        <v>370</v>
      </c>
      <c r="D17" s="389">
        <f>(V17-R17)*7.48/(V7-R7)</f>
        <v>154.47826086956522</v>
      </c>
      <c r="E17" s="255">
        <f t="shared" si="1"/>
        <v>45</v>
      </c>
      <c r="F17" s="388">
        <f>D17/(N17+N18)</f>
        <v>0.20735337029471843</v>
      </c>
      <c r="G17" s="253" t="s">
        <v>371</v>
      </c>
      <c r="H17" s="244">
        <v>900</v>
      </c>
      <c r="I17" s="253" t="s">
        <v>372</v>
      </c>
      <c r="J17" s="244">
        <v>900</v>
      </c>
      <c r="K17" s="226" t="s">
        <v>360</v>
      </c>
      <c r="L17" s="245">
        <v>50</v>
      </c>
      <c r="M17" s="226" t="s">
        <v>364</v>
      </c>
      <c r="N17" s="244">
        <f>J17/1000*L17</f>
        <v>45</v>
      </c>
      <c r="O17" s="243"/>
      <c r="P17" s="247"/>
      <c r="Q17" s="256"/>
      <c r="R17" s="257">
        <v>1300</v>
      </c>
      <c r="S17" s="247"/>
      <c r="T17" s="256"/>
      <c r="U17" s="257">
        <v>3000</v>
      </c>
      <c r="V17" s="257">
        <v>3200</v>
      </c>
      <c r="W17" s="257">
        <v>4600</v>
      </c>
      <c r="X17" s="257">
        <v>9600</v>
      </c>
      <c r="Y17" s="172"/>
      <c r="Z17" s="6"/>
      <c r="AA17" s="6"/>
      <c r="AB17" s="6"/>
      <c r="AC17" s="6"/>
    </row>
    <row r="18" spans="1:29" ht="19.149999999999999" customHeight="1" x14ac:dyDescent="0.25">
      <c r="A18" s="171"/>
      <c r="B18" s="392"/>
      <c r="C18" s="389"/>
      <c r="D18" s="389"/>
      <c r="E18" s="227">
        <f t="shared" si="1"/>
        <v>700</v>
      </c>
      <c r="F18" s="388"/>
      <c r="G18" s="253" t="s">
        <v>373</v>
      </c>
      <c r="H18" s="244">
        <v>1250</v>
      </c>
      <c r="I18" s="253" t="s">
        <v>374</v>
      </c>
      <c r="J18" s="244">
        <v>7</v>
      </c>
      <c r="K18" s="226" t="s">
        <v>360</v>
      </c>
      <c r="L18" s="245">
        <v>100</v>
      </c>
      <c r="M18" s="226" t="s">
        <v>375</v>
      </c>
      <c r="N18" s="244">
        <f>J18*L18</f>
        <v>700</v>
      </c>
      <c r="O18" s="243"/>
      <c r="P18" s="247"/>
      <c r="Q18" s="233"/>
      <c r="R18" s="258"/>
      <c r="S18" s="233"/>
      <c r="T18" s="256"/>
      <c r="U18" s="259">
        <f>(U17-R17)*7.48/(U7-R7)/($N17+$N18)</f>
        <v>0.20080536912751676</v>
      </c>
      <c r="V18" s="259">
        <f>(V17-R17)*7.48/(V7-R7)/($N17+$N18)</f>
        <v>0.20735337029471843</v>
      </c>
      <c r="W18" s="259">
        <f>(W17-$U17)*7.48/(W7-$U7)/($N17+$N18)</f>
        <v>0.23976760492837823</v>
      </c>
      <c r="X18" s="259">
        <f>(X17-$U17)*7.48/(X7-$U7)/($N17+$N18)</f>
        <v>0.33809067251061498</v>
      </c>
      <c r="Y18" s="172"/>
      <c r="Z18" s="231" t="s">
        <v>376</v>
      </c>
      <c r="AA18" s="6"/>
      <c r="AB18" s="6"/>
      <c r="AC18" s="6"/>
    </row>
    <row r="19" spans="1:29" ht="19.149999999999999" customHeight="1" x14ac:dyDescent="0.25">
      <c r="A19" s="6"/>
      <c r="B19" s="225">
        <f t="shared" ref="B19:B25" si="2">N19</f>
        <v>56.999999999999993</v>
      </c>
      <c r="C19" s="220"/>
      <c r="D19" s="220"/>
      <c r="E19" s="235">
        <f t="shared" si="1"/>
        <v>56.999999999999993</v>
      </c>
      <c r="F19" s="236"/>
      <c r="G19" s="251" t="s">
        <v>377</v>
      </c>
      <c r="H19" s="244">
        <v>1140</v>
      </c>
      <c r="I19" s="253" t="s">
        <v>363</v>
      </c>
      <c r="J19" s="244">
        <v>1140</v>
      </c>
      <c r="K19" s="226" t="s">
        <v>360</v>
      </c>
      <c r="L19" s="245">
        <v>50</v>
      </c>
      <c r="M19" s="226" t="s">
        <v>364</v>
      </c>
      <c r="N19" s="244">
        <f>J19/1000*L19</f>
        <v>56.999999999999993</v>
      </c>
      <c r="O19" s="243"/>
      <c r="P19" s="247"/>
      <c r="Q19" s="233"/>
      <c r="R19" s="233"/>
      <c r="S19" s="233"/>
      <c r="T19" s="233"/>
      <c r="U19" s="258"/>
      <c r="V19" s="258"/>
      <c r="W19" s="258"/>
      <c r="X19" s="258"/>
      <c r="Y19" s="6"/>
      <c r="Z19" s="6"/>
      <c r="AA19" s="6"/>
      <c r="AB19" s="6"/>
      <c r="AC19" s="6"/>
    </row>
    <row r="20" spans="1:29" ht="19.149999999999999" customHeight="1" x14ac:dyDescent="0.25">
      <c r="A20" s="6"/>
      <c r="B20" s="33">
        <f t="shared" si="2"/>
        <v>113.9</v>
      </c>
      <c r="C20" s="6"/>
      <c r="D20" s="77"/>
      <c r="E20" s="82">
        <f t="shared" si="1"/>
        <v>113.9</v>
      </c>
      <c r="F20" s="237"/>
      <c r="G20" s="251" t="s">
        <v>369</v>
      </c>
      <c r="H20" s="244">
        <v>2278</v>
      </c>
      <c r="I20" s="253" t="s">
        <v>363</v>
      </c>
      <c r="J20" s="244">
        <v>2278</v>
      </c>
      <c r="K20" s="226" t="s">
        <v>360</v>
      </c>
      <c r="L20" s="245">
        <v>50</v>
      </c>
      <c r="M20" s="226" t="s">
        <v>364</v>
      </c>
      <c r="N20" s="244">
        <f>J20/1000*L20</f>
        <v>113.9</v>
      </c>
      <c r="O20" s="243"/>
      <c r="P20" s="247"/>
      <c r="Q20" s="233"/>
      <c r="R20" s="233"/>
      <c r="S20" s="233"/>
      <c r="T20" s="233"/>
      <c r="U20" s="233"/>
      <c r="V20" s="233"/>
      <c r="W20" s="233"/>
      <c r="X20" s="233"/>
      <c r="Y20" s="6"/>
      <c r="Z20" s="6"/>
      <c r="AA20" s="6"/>
      <c r="AB20" s="6"/>
      <c r="AC20" s="6"/>
    </row>
    <row r="21" spans="1:29" ht="19.149999999999999" customHeight="1" x14ac:dyDescent="0.25">
      <c r="A21" s="6"/>
      <c r="B21" s="33">
        <f t="shared" si="2"/>
        <v>64.099999999999994</v>
      </c>
      <c r="C21" s="6"/>
      <c r="D21" s="77"/>
      <c r="E21" s="82">
        <f t="shared" si="1"/>
        <v>64.099999999999994</v>
      </c>
      <c r="F21" s="237"/>
      <c r="G21" s="251" t="s">
        <v>378</v>
      </c>
      <c r="H21" s="244">
        <v>1282</v>
      </c>
      <c r="I21" s="253" t="s">
        <v>363</v>
      </c>
      <c r="J21" s="244">
        <v>1282</v>
      </c>
      <c r="K21" s="226" t="s">
        <v>360</v>
      </c>
      <c r="L21" s="245">
        <v>50</v>
      </c>
      <c r="M21" s="226" t="s">
        <v>364</v>
      </c>
      <c r="N21" s="244">
        <f>J21/1000*L21</f>
        <v>64.099999999999994</v>
      </c>
      <c r="O21" s="243"/>
      <c r="P21" s="247"/>
      <c r="Q21" s="233"/>
      <c r="R21" s="233"/>
      <c r="S21" s="233"/>
      <c r="T21" s="233"/>
      <c r="U21" s="233"/>
      <c r="V21" s="233"/>
      <c r="W21" s="233"/>
      <c r="X21" s="233"/>
      <c r="Y21" s="6"/>
      <c r="Z21" s="6"/>
      <c r="AA21" s="6"/>
      <c r="AB21" s="6"/>
      <c r="AC21" s="6"/>
    </row>
    <row r="22" spans="1:29" ht="19.149999999999999" customHeight="1" x14ac:dyDescent="0.25">
      <c r="A22" s="6"/>
      <c r="B22" s="33">
        <f t="shared" si="2"/>
        <v>0</v>
      </c>
      <c r="C22" s="6"/>
      <c r="D22" s="77"/>
      <c r="E22" s="82"/>
      <c r="F22" s="237"/>
      <c r="G22" s="253" t="s">
        <v>379</v>
      </c>
      <c r="H22" s="260">
        <v>150</v>
      </c>
      <c r="I22" s="243"/>
      <c r="J22" s="244"/>
      <c r="K22" s="227"/>
      <c r="L22" s="245"/>
      <c r="M22" s="227"/>
      <c r="N22" s="260"/>
      <c r="O22" s="243"/>
      <c r="P22" s="247"/>
      <c r="Q22" s="233"/>
      <c r="R22" s="233"/>
      <c r="S22" s="233"/>
      <c r="T22" s="233"/>
      <c r="U22" s="233"/>
      <c r="V22" s="233"/>
      <c r="W22" s="233"/>
      <c r="X22" s="233"/>
      <c r="Y22" s="6"/>
      <c r="Z22" s="6"/>
      <c r="AA22" s="6"/>
      <c r="AB22" s="6"/>
      <c r="AC22" s="6"/>
    </row>
    <row r="23" spans="1:29" ht="19.149999999999999" customHeight="1" x14ac:dyDescent="0.25">
      <c r="A23" s="6"/>
      <c r="B23" s="240">
        <f t="shared" si="2"/>
        <v>1080</v>
      </c>
      <c r="C23" s="6"/>
      <c r="D23" s="77"/>
      <c r="E23" s="82">
        <f>N23</f>
        <v>1080</v>
      </c>
      <c r="F23" s="237"/>
      <c r="G23" s="241" t="s">
        <v>368</v>
      </c>
      <c r="H23" s="242">
        <f>SUM(H16:H22)</f>
        <v>9000</v>
      </c>
      <c r="I23" s="243"/>
      <c r="J23" s="244"/>
      <c r="K23" s="227"/>
      <c r="L23" s="245"/>
      <c r="M23" s="227"/>
      <c r="N23" s="246">
        <f>SUM(N16:N22)</f>
        <v>1080</v>
      </c>
      <c r="O23" s="243"/>
      <c r="P23" s="247"/>
      <c r="Q23" s="233"/>
      <c r="R23" s="233"/>
      <c r="S23" s="233"/>
      <c r="T23" s="233"/>
      <c r="U23" s="233"/>
      <c r="V23" s="233"/>
      <c r="W23" s="233"/>
      <c r="X23" s="233"/>
      <c r="Y23" s="6"/>
      <c r="Z23" s="6"/>
      <c r="AA23" s="6"/>
      <c r="AB23" s="6"/>
      <c r="AC23" s="6"/>
    </row>
    <row r="24" spans="1:29" ht="19.149999999999999" customHeight="1" x14ac:dyDescent="0.25">
      <c r="A24" s="6"/>
      <c r="B24" s="33">
        <f t="shared" si="2"/>
        <v>0</v>
      </c>
      <c r="C24" s="6"/>
      <c r="D24" s="77"/>
      <c r="E24" s="82"/>
      <c r="F24" s="237"/>
      <c r="G24" s="243"/>
      <c r="H24" s="252"/>
      <c r="I24" s="243"/>
      <c r="J24" s="244"/>
      <c r="K24" s="227"/>
      <c r="L24" s="245"/>
      <c r="M24" s="227"/>
      <c r="N24" s="252"/>
      <c r="O24" s="243"/>
      <c r="P24" s="247"/>
      <c r="Q24" s="233"/>
      <c r="R24" s="233"/>
      <c r="S24" s="233"/>
      <c r="T24" s="233"/>
      <c r="U24" s="233"/>
      <c r="V24" s="233"/>
      <c r="W24" s="233"/>
      <c r="X24" s="233"/>
      <c r="Y24" s="6"/>
      <c r="Z24" s="6"/>
      <c r="AA24" s="6"/>
      <c r="AB24" s="6"/>
      <c r="AC24" s="6"/>
    </row>
    <row r="25" spans="1:29" ht="19.149999999999999" customHeight="1" x14ac:dyDescent="0.25">
      <c r="A25" s="232" t="s">
        <v>58</v>
      </c>
      <c r="B25" s="248">
        <f t="shared" si="2"/>
        <v>100</v>
      </c>
      <c r="C25" s="178"/>
      <c r="D25" s="249"/>
      <c r="E25" s="82">
        <f>N25</f>
        <v>100</v>
      </c>
      <c r="F25" s="250"/>
      <c r="G25" s="251" t="s">
        <v>380</v>
      </c>
      <c r="H25" s="244">
        <v>2000</v>
      </c>
      <c r="I25" s="253" t="s">
        <v>381</v>
      </c>
      <c r="J25" s="244">
        <v>2000</v>
      </c>
      <c r="K25" s="226" t="s">
        <v>360</v>
      </c>
      <c r="L25" s="245">
        <v>50</v>
      </c>
      <c r="M25" s="226" t="s">
        <v>364</v>
      </c>
      <c r="N25" s="244">
        <f>J25/1000*L25</f>
        <v>100</v>
      </c>
      <c r="O25" s="243"/>
      <c r="P25" s="247"/>
      <c r="Q25" s="233"/>
      <c r="R25" s="254"/>
      <c r="S25" s="233"/>
      <c r="T25" s="254"/>
      <c r="U25" s="254"/>
      <c r="V25" s="254"/>
      <c r="W25" s="254"/>
      <c r="X25" s="254"/>
      <c r="Y25" s="232" t="s">
        <v>58</v>
      </c>
      <c r="Z25" s="6"/>
      <c r="AA25" s="6"/>
      <c r="AB25" s="6"/>
      <c r="AC25" s="6"/>
    </row>
    <row r="26" spans="1:29" ht="19.149999999999999" customHeight="1" x14ac:dyDescent="0.25">
      <c r="A26" s="171"/>
      <c r="B26" s="390"/>
      <c r="C26" s="393" t="s">
        <v>382</v>
      </c>
      <c r="D26" s="389">
        <f>(V26-T26-(V28-T28))*7.48/(V7-T7)</f>
        <v>332.44444444444446</v>
      </c>
      <c r="E26" s="255">
        <f>N26</f>
        <v>600</v>
      </c>
      <c r="F26" s="388">
        <f>D26/(N26+N27)</f>
        <v>0.36135265700483093</v>
      </c>
      <c r="G26" s="253" t="s">
        <v>383</v>
      </c>
      <c r="H26" s="244">
        <v>1200</v>
      </c>
      <c r="I26" s="253" t="s">
        <v>384</v>
      </c>
      <c r="J26" s="244">
        <v>30</v>
      </c>
      <c r="K26" s="226" t="s">
        <v>360</v>
      </c>
      <c r="L26" s="245">
        <v>20</v>
      </c>
      <c r="M26" s="226" t="s">
        <v>385</v>
      </c>
      <c r="N26" s="244">
        <f>J26*L26</f>
        <v>600</v>
      </c>
      <c r="O26" s="243"/>
      <c r="P26" s="247"/>
      <c r="Q26" s="256"/>
      <c r="R26" s="257">
        <v>7200</v>
      </c>
      <c r="S26" s="261"/>
      <c r="T26" s="257">
        <f>45900</f>
        <v>45900</v>
      </c>
      <c r="U26" s="257">
        <f>51500</f>
        <v>51500</v>
      </c>
      <c r="V26" s="257">
        <v>54300</v>
      </c>
      <c r="W26" s="257">
        <v>83800</v>
      </c>
      <c r="X26" s="257">
        <v>112200</v>
      </c>
      <c r="Y26" s="172"/>
      <c r="Z26" s="6"/>
      <c r="AA26" s="6"/>
      <c r="AB26" s="6"/>
      <c r="AC26" s="6"/>
    </row>
    <row r="27" spans="1:29" ht="19.149999999999999" customHeight="1" x14ac:dyDescent="0.25">
      <c r="A27" s="171"/>
      <c r="B27" s="391"/>
      <c r="C27" s="388"/>
      <c r="D27" s="389"/>
      <c r="E27" s="227">
        <f>N27</f>
        <v>320</v>
      </c>
      <c r="F27" s="388"/>
      <c r="G27" s="253" t="s">
        <v>386</v>
      </c>
      <c r="H27" s="244">
        <v>1620</v>
      </c>
      <c r="I27" s="253" t="s">
        <v>384</v>
      </c>
      <c r="J27" s="244">
        <v>16</v>
      </c>
      <c r="K27" s="226" t="s">
        <v>360</v>
      </c>
      <c r="L27" s="245">
        <v>20</v>
      </c>
      <c r="M27" s="226" t="s">
        <v>385</v>
      </c>
      <c r="N27" s="244">
        <f>J27*L27</f>
        <v>320</v>
      </c>
      <c r="O27" s="243"/>
      <c r="P27" s="247"/>
      <c r="Q27" s="233"/>
      <c r="R27" s="258"/>
      <c r="S27" s="233"/>
      <c r="T27" s="262"/>
      <c r="U27" s="259">
        <f>(U26-U28-T26+T28)*7.48/(U$7-T$7)/($N26+$N27)</f>
        <v>0.81304347826086953</v>
      </c>
      <c r="V27" s="259">
        <f>(V26-T26-(V28-T28))*7.48/(V7-T7)/($N26+$N27)</f>
        <v>0.36135265700483093</v>
      </c>
      <c r="W27" s="259">
        <f>(W26-U26-(W28-U28))*7.48/(W7-U7)/($N26+$N27)</f>
        <v>0.86158338741077234</v>
      </c>
      <c r="X27" s="259">
        <f>(X26-V26-(X28-V28))*7.48/(X7-V7)/($N26+$N27)</f>
        <v>1.0195307108350586</v>
      </c>
      <c r="Y27" s="172"/>
      <c r="Z27" s="231" t="s">
        <v>387</v>
      </c>
      <c r="AA27" s="6"/>
      <c r="AB27" s="6"/>
      <c r="AC27" s="6"/>
    </row>
    <row r="28" spans="1:29" ht="19.149999999999999" customHeight="1" x14ac:dyDescent="0.25">
      <c r="A28" s="6"/>
      <c r="B28" s="225">
        <f t="shared" ref="B28:B59" si="3">N28</f>
        <v>0</v>
      </c>
      <c r="C28" s="220"/>
      <c r="D28" s="220"/>
      <c r="E28" s="263"/>
      <c r="F28" s="236"/>
      <c r="G28" s="253" t="s">
        <v>156</v>
      </c>
      <c r="H28" s="244"/>
      <c r="I28" s="243"/>
      <c r="J28" s="244"/>
      <c r="K28" s="227"/>
      <c r="L28" s="245"/>
      <c r="M28" s="227"/>
      <c r="N28" s="244"/>
      <c r="O28" s="243"/>
      <c r="P28" s="247"/>
      <c r="Q28" s="233"/>
      <c r="R28" s="233"/>
      <c r="S28" s="256"/>
      <c r="T28" s="257">
        <v>35700</v>
      </c>
      <c r="U28" s="257">
        <v>40200</v>
      </c>
      <c r="V28" s="257">
        <v>43300</v>
      </c>
      <c r="W28" s="257">
        <v>65400</v>
      </c>
      <c r="X28" s="257">
        <v>77500</v>
      </c>
      <c r="Y28" s="172"/>
      <c r="Z28" s="231" t="s">
        <v>388</v>
      </c>
      <c r="AA28" s="6"/>
      <c r="AB28" s="6"/>
      <c r="AC28" s="6"/>
    </row>
    <row r="29" spans="1:29" ht="19.149999999999999" customHeight="1" x14ac:dyDescent="0.25">
      <c r="A29" s="6"/>
      <c r="B29" s="33">
        <f t="shared" si="3"/>
        <v>85</v>
      </c>
      <c r="C29" s="6"/>
      <c r="D29" s="77"/>
      <c r="E29" s="53">
        <f>N29</f>
        <v>85</v>
      </c>
      <c r="F29" s="237"/>
      <c r="G29" s="251" t="s">
        <v>369</v>
      </c>
      <c r="H29" s="244">
        <v>1700</v>
      </c>
      <c r="I29" s="253" t="s">
        <v>363</v>
      </c>
      <c r="J29" s="244">
        <v>1700</v>
      </c>
      <c r="K29" s="226" t="s">
        <v>360</v>
      </c>
      <c r="L29" s="245">
        <v>50</v>
      </c>
      <c r="M29" s="226" t="s">
        <v>364</v>
      </c>
      <c r="N29" s="244">
        <f>J29/1000*L29</f>
        <v>85</v>
      </c>
      <c r="O29" s="243"/>
      <c r="P29" s="247"/>
      <c r="Q29" s="233"/>
      <c r="R29" s="233"/>
      <c r="S29" s="233"/>
      <c r="T29" s="258"/>
      <c r="U29" s="258"/>
      <c r="V29" s="258"/>
      <c r="W29" s="258"/>
      <c r="X29" s="258"/>
      <c r="Y29" s="6"/>
      <c r="Z29" s="6"/>
      <c r="AA29" s="6"/>
      <c r="AB29" s="6"/>
      <c r="AC29" s="6"/>
    </row>
    <row r="30" spans="1:29" ht="19.149999999999999" customHeight="1" x14ac:dyDescent="0.25">
      <c r="A30" s="6"/>
      <c r="B30" s="33">
        <f t="shared" si="3"/>
        <v>116.5</v>
      </c>
      <c r="C30" s="6"/>
      <c r="D30" s="77"/>
      <c r="E30" s="82">
        <f>N30</f>
        <v>116.5</v>
      </c>
      <c r="F30" s="237"/>
      <c r="G30" s="251" t="s">
        <v>369</v>
      </c>
      <c r="H30" s="244">
        <v>2330</v>
      </c>
      <c r="I30" s="253" t="s">
        <v>363</v>
      </c>
      <c r="J30" s="244">
        <v>2330</v>
      </c>
      <c r="K30" s="226" t="s">
        <v>360</v>
      </c>
      <c r="L30" s="245">
        <v>50</v>
      </c>
      <c r="M30" s="226" t="s">
        <v>364</v>
      </c>
      <c r="N30" s="244">
        <f>J30/1000*L30</f>
        <v>116.5</v>
      </c>
      <c r="O30" s="243"/>
      <c r="P30" s="247"/>
      <c r="Q30" s="233"/>
      <c r="R30" s="233"/>
      <c r="S30" s="233"/>
      <c r="T30" s="233"/>
      <c r="U30" s="233"/>
      <c r="V30" s="233"/>
      <c r="W30" s="233"/>
      <c r="X30" s="233"/>
      <c r="Y30" s="6"/>
      <c r="Z30" s="6"/>
      <c r="AA30" s="6"/>
      <c r="AB30" s="6"/>
      <c r="AC30" s="6"/>
    </row>
    <row r="31" spans="1:29" ht="19.149999999999999" customHeight="1" x14ac:dyDescent="0.25">
      <c r="A31" s="6"/>
      <c r="B31" s="33">
        <f t="shared" si="3"/>
        <v>0</v>
      </c>
      <c r="C31" s="6"/>
      <c r="D31" s="77"/>
      <c r="E31" s="82"/>
      <c r="F31" s="237"/>
      <c r="G31" s="253" t="s">
        <v>379</v>
      </c>
      <c r="H31" s="260">
        <v>150</v>
      </c>
      <c r="I31" s="243"/>
      <c r="J31" s="244"/>
      <c r="K31" s="227"/>
      <c r="L31" s="245"/>
      <c r="M31" s="227"/>
      <c r="N31" s="260"/>
      <c r="O31" s="243"/>
      <c r="P31" s="247"/>
      <c r="Q31" s="233"/>
      <c r="R31" s="233"/>
      <c r="S31" s="233"/>
      <c r="T31" s="233"/>
      <c r="U31" s="233"/>
      <c r="V31" s="233"/>
      <c r="W31" s="233"/>
      <c r="X31" s="233"/>
      <c r="Y31" s="6"/>
      <c r="Z31" s="6"/>
      <c r="AA31" s="6"/>
      <c r="AB31" s="6"/>
      <c r="AC31" s="6"/>
    </row>
    <row r="32" spans="1:29" ht="19.149999999999999" customHeight="1" x14ac:dyDescent="0.25">
      <c r="A32" s="6"/>
      <c r="B32" s="240">
        <f t="shared" si="3"/>
        <v>1221.5</v>
      </c>
      <c r="C32" s="6"/>
      <c r="D32" s="77"/>
      <c r="E32" s="82">
        <f>N32</f>
        <v>1221.5</v>
      </c>
      <c r="F32" s="237"/>
      <c r="G32" s="241" t="s">
        <v>368</v>
      </c>
      <c r="H32" s="242">
        <f>SUM(H25:H31)</f>
        <v>9000</v>
      </c>
      <c r="I32" s="243"/>
      <c r="J32" s="244"/>
      <c r="K32" s="227"/>
      <c r="L32" s="245"/>
      <c r="M32" s="227"/>
      <c r="N32" s="246">
        <f>SUM(N25:N31)</f>
        <v>1221.5</v>
      </c>
      <c r="O32" s="243"/>
      <c r="P32" s="247"/>
      <c r="Q32" s="233"/>
      <c r="R32" s="233"/>
      <c r="S32" s="233"/>
      <c r="T32" s="233"/>
      <c r="U32" s="233"/>
      <c r="V32" s="233"/>
      <c r="W32" s="233"/>
      <c r="X32" s="233"/>
      <c r="Y32" s="6"/>
      <c r="Z32" s="6"/>
      <c r="AA32" s="6"/>
      <c r="AB32" s="6"/>
      <c r="AC32" s="6"/>
    </row>
    <row r="33" spans="1:29" ht="19.149999999999999" customHeight="1" x14ac:dyDescent="0.25">
      <c r="A33" s="6"/>
      <c r="B33" s="33">
        <f t="shared" si="3"/>
        <v>0</v>
      </c>
      <c r="C33" s="6"/>
      <c r="D33" s="77"/>
      <c r="E33" s="82"/>
      <c r="F33" s="237"/>
      <c r="G33" s="243"/>
      <c r="H33" s="252"/>
      <c r="I33" s="243"/>
      <c r="J33" s="244"/>
      <c r="K33" s="227"/>
      <c r="L33" s="245"/>
      <c r="M33" s="227"/>
      <c r="N33" s="252"/>
      <c r="O33" s="243"/>
      <c r="P33" s="247"/>
      <c r="Q33" s="233"/>
      <c r="R33" s="233"/>
      <c r="S33" s="233"/>
      <c r="T33" s="233"/>
      <c r="U33" s="233"/>
      <c r="V33" s="233"/>
      <c r="W33" s="233"/>
      <c r="X33" s="233"/>
      <c r="Y33" s="6"/>
      <c r="Z33" s="6"/>
      <c r="AA33" s="6"/>
      <c r="AB33" s="6"/>
      <c r="AC33" s="6"/>
    </row>
    <row r="34" spans="1:29" ht="19.149999999999999" customHeight="1" x14ac:dyDescent="0.25">
      <c r="A34" s="232" t="s">
        <v>77</v>
      </c>
      <c r="B34" s="33">
        <f t="shared" si="3"/>
        <v>500</v>
      </c>
      <c r="C34" s="6"/>
      <c r="D34" s="249"/>
      <c r="E34" s="82">
        <f>N34</f>
        <v>500</v>
      </c>
      <c r="F34" s="250"/>
      <c r="G34" s="251" t="s">
        <v>389</v>
      </c>
      <c r="H34" s="244">
        <v>2995</v>
      </c>
      <c r="I34" s="253" t="s">
        <v>323</v>
      </c>
      <c r="J34" s="244">
        <v>2</v>
      </c>
      <c r="K34" s="226" t="s">
        <v>360</v>
      </c>
      <c r="L34" s="245">
        <v>250</v>
      </c>
      <c r="M34" s="226" t="s">
        <v>361</v>
      </c>
      <c r="N34" s="244">
        <f>J34*L34</f>
        <v>500</v>
      </c>
      <c r="O34" s="243"/>
      <c r="P34" s="247"/>
      <c r="Q34" s="233"/>
      <c r="R34" s="233"/>
      <c r="S34" s="254"/>
      <c r="T34" s="254"/>
      <c r="U34" s="254"/>
      <c r="V34" s="254"/>
      <c r="W34" s="254"/>
      <c r="X34" s="254"/>
      <c r="Y34" s="232" t="s">
        <v>77</v>
      </c>
      <c r="Z34" s="6"/>
      <c r="AA34" s="6"/>
      <c r="AB34" s="6"/>
      <c r="AC34" s="6"/>
    </row>
    <row r="35" spans="1:29" ht="19.149999999999999" customHeight="1" x14ac:dyDescent="0.25">
      <c r="A35" s="6"/>
      <c r="B35" s="33">
        <f t="shared" si="3"/>
        <v>183.75</v>
      </c>
      <c r="C35" s="171"/>
      <c r="D35" s="226" t="s">
        <v>390</v>
      </c>
      <c r="E35" s="255">
        <f>N35</f>
        <v>183.75</v>
      </c>
      <c r="F35" s="228"/>
      <c r="G35" s="253" t="s">
        <v>391</v>
      </c>
      <c r="H35" s="244">
        <v>3675</v>
      </c>
      <c r="I35" s="253" t="s">
        <v>363</v>
      </c>
      <c r="J35" s="244">
        <v>3675</v>
      </c>
      <c r="K35" s="226" t="s">
        <v>360</v>
      </c>
      <c r="L35" s="245">
        <v>50</v>
      </c>
      <c r="M35" s="226" t="s">
        <v>364</v>
      </c>
      <c r="N35" s="244">
        <f>J35/1000*L35</f>
        <v>183.75</v>
      </c>
      <c r="O35" s="243"/>
      <c r="P35" s="247"/>
      <c r="Q35" s="233"/>
      <c r="R35" s="256"/>
      <c r="S35" s="257">
        <v>0</v>
      </c>
      <c r="T35" s="257">
        <v>0</v>
      </c>
      <c r="U35" s="257">
        <v>0</v>
      </c>
      <c r="V35" s="257">
        <v>0</v>
      </c>
      <c r="W35" s="257">
        <v>4900</v>
      </c>
      <c r="X35" s="257">
        <v>19700</v>
      </c>
      <c r="Y35" s="172"/>
      <c r="Z35" s="231" t="s">
        <v>392</v>
      </c>
      <c r="AA35" s="6"/>
      <c r="AB35" s="6"/>
      <c r="AC35" s="6"/>
    </row>
    <row r="36" spans="1:29" ht="19.149999999999999" customHeight="1" x14ac:dyDescent="0.25">
      <c r="A36" s="6"/>
      <c r="B36" s="33">
        <f t="shared" si="3"/>
        <v>2100</v>
      </c>
      <c r="C36" s="6"/>
      <c r="D36" s="234"/>
      <c r="E36" s="235">
        <f>N36</f>
        <v>2100</v>
      </c>
      <c r="F36" s="236"/>
      <c r="G36" s="251" t="s">
        <v>393</v>
      </c>
      <c r="H36" s="244">
        <v>2000</v>
      </c>
      <c r="I36" s="253" t="s">
        <v>394</v>
      </c>
      <c r="J36" s="244">
        <v>60</v>
      </c>
      <c r="K36" s="226" t="s">
        <v>360</v>
      </c>
      <c r="L36" s="245">
        <v>35</v>
      </c>
      <c r="M36" s="226" t="s">
        <v>385</v>
      </c>
      <c r="N36" s="244">
        <f>J36*L36</f>
        <v>2100</v>
      </c>
      <c r="O36" s="243"/>
      <c r="P36" s="247"/>
      <c r="Q36" s="233"/>
      <c r="R36" s="233"/>
      <c r="S36" s="258"/>
      <c r="T36" s="258"/>
      <c r="U36" s="258"/>
      <c r="V36" s="258"/>
      <c r="W36" s="264"/>
      <c r="X36" s="259">
        <f>(X35-V35-(X37-V37))*7.48/(X$7-V$7)/($N35)</f>
        <v>4.2430551056401402</v>
      </c>
      <c r="Y36" s="172"/>
      <c r="Z36" s="231" t="s">
        <v>395</v>
      </c>
      <c r="AA36" s="6"/>
      <c r="AB36" s="6"/>
      <c r="AC36" s="6"/>
    </row>
    <row r="37" spans="1:29" ht="19.149999999999999" customHeight="1" x14ac:dyDescent="0.25">
      <c r="A37" s="6"/>
      <c r="B37" s="33">
        <f t="shared" si="3"/>
        <v>0</v>
      </c>
      <c r="C37" s="6"/>
      <c r="D37" s="77"/>
      <c r="E37" s="82"/>
      <c r="F37" s="237"/>
      <c r="G37" s="253" t="s">
        <v>379</v>
      </c>
      <c r="H37" s="260">
        <v>150</v>
      </c>
      <c r="I37" s="243"/>
      <c r="J37" s="244"/>
      <c r="K37" s="227"/>
      <c r="L37" s="245"/>
      <c r="M37" s="227"/>
      <c r="N37" s="260"/>
      <c r="O37" s="243"/>
      <c r="P37" s="247"/>
      <c r="Q37" s="233"/>
      <c r="R37" s="233"/>
      <c r="S37" s="233"/>
      <c r="T37" s="233"/>
      <c r="U37" s="233"/>
      <c r="V37" s="233"/>
      <c r="W37" s="233"/>
      <c r="X37" s="258"/>
      <c r="Y37" s="6"/>
      <c r="Z37" s="6"/>
      <c r="AA37" s="6"/>
      <c r="AB37" s="6"/>
      <c r="AC37" s="6"/>
    </row>
    <row r="38" spans="1:29" ht="19.149999999999999" customHeight="1" x14ac:dyDescent="0.25">
      <c r="A38" s="6"/>
      <c r="B38" s="240">
        <f t="shared" si="3"/>
        <v>2783.75</v>
      </c>
      <c r="C38" s="6"/>
      <c r="D38" s="77"/>
      <c r="E38" s="82">
        <f>N38</f>
        <v>2783.75</v>
      </c>
      <c r="F38" s="237"/>
      <c r="G38" s="241" t="s">
        <v>368</v>
      </c>
      <c r="H38" s="242">
        <f>SUM(H34:H37)</f>
        <v>8820</v>
      </c>
      <c r="I38" s="243"/>
      <c r="J38" s="244"/>
      <c r="K38" s="227"/>
      <c r="L38" s="245"/>
      <c r="M38" s="227"/>
      <c r="N38" s="242">
        <f>SUM(N34:N37)</f>
        <v>2783.75</v>
      </c>
      <c r="O38" s="243"/>
      <c r="P38" s="247"/>
      <c r="Q38" s="233"/>
      <c r="R38" s="233"/>
      <c r="S38" s="233"/>
      <c r="T38" s="233"/>
      <c r="U38" s="233"/>
      <c r="V38" s="233"/>
      <c r="W38" s="233"/>
      <c r="X38" s="233"/>
      <c r="Y38" s="6"/>
      <c r="Z38" s="6"/>
      <c r="AA38" s="6"/>
      <c r="AB38" s="6"/>
      <c r="AC38" s="6"/>
    </row>
    <row r="39" spans="1:29" ht="19.149999999999999" customHeight="1" x14ac:dyDescent="0.25">
      <c r="A39" s="6"/>
      <c r="B39" s="33">
        <f t="shared" si="3"/>
        <v>0</v>
      </c>
      <c r="C39" s="6"/>
      <c r="D39" s="77"/>
      <c r="E39" s="82"/>
      <c r="F39" s="237"/>
      <c r="G39" s="243"/>
      <c r="H39" s="252"/>
      <c r="I39" s="243"/>
      <c r="J39" s="244"/>
      <c r="K39" s="227"/>
      <c r="L39" s="245"/>
      <c r="M39" s="227"/>
      <c r="N39" s="252"/>
      <c r="O39" s="243"/>
      <c r="P39" s="247"/>
      <c r="Q39" s="233"/>
      <c r="R39" s="233"/>
      <c r="S39" s="233"/>
      <c r="T39" s="233"/>
      <c r="U39" s="233"/>
      <c r="V39" s="233"/>
      <c r="W39" s="233"/>
      <c r="X39" s="233"/>
      <c r="Y39" s="6"/>
      <c r="Z39" s="6"/>
      <c r="AA39" s="6"/>
      <c r="AB39" s="6"/>
      <c r="AC39" s="6"/>
    </row>
    <row r="40" spans="1:29" ht="19.149999999999999" customHeight="1" x14ac:dyDescent="0.25">
      <c r="A40" s="232" t="s">
        <v>91</v>
      </c>
      <c r="B40" s="248">
        <f t="shared" si="3"/>
        <v>57.999999999999993</v>
      </c>
      <c r="C40" s="178"/>
      <c r="D40" s="249"/>
      <c r="E40" s="82">
        <f>N40</f>
        <v>57.999999999999993</v>
      </c>
      <c r="F40" s="250"/>
      <c r="G40" s="251" t="s">
        <v>369</v>
      </c>
      <c r="H40" s="244">
        <v>1160</v>
      </c>
      <c r="I40" s="253" t="s">
        <v>363</v>
      </c>
      <c r="J40" s="244">
        <v>1160</v>
      </c>
      <c r="K40" s="226" t="s">
        <v>360</v>
      </c>
      <c r="L40" s="245">
        <v>50</v>
      </c>
      <c r="M40" s="226" t="s">
        <v>364</v>
      </c>
      <c r="N40" s="244">
        <f>J40/1000*L40</f>
        <v>57.999999999999993</v>
      </c>
      <c r="O40" s="243"/>
      <c r="P40" s="265"/>
      <c r="Q40" s="254"/>
      <c r="R40" s="233"/>
      <c r="S40" s="254"/>
      <c r="T40" s="233"/>
      <c r="U40" s="254"/>
      <c r="V40" s="254"/>
      <c r="W40" s="254"/>
      <c r="X40" s="254"/>
      <c r="Y40" s="232" t="s">
        <v>91</v>
      </c>
      <c r="Z40" s="6"/>
      <c r="AA40" s="6"/>
      <c r="AB40" s="6"/>
      <c r="AC40" s="6"/>
    </row>
    <row r="41" spans="1:29" ht="22.9" customHeight="1" x14ac:dyDescent="0.25">
      <c r="A41" s="171"/>
      <c r="B41" s="204">
        <f t="shared" si="3"/>
        <v>3850</v>
      </c>
      <c r="C41" s="266" t="s">
        <v>396</v>
      </c>
      <c r="D41" s="227">
        <f>(V41-P41-V43)*7.48/(V7-P7)</f>
        <v>1362.72</v>
      </c>
      <c r="E41" s="255">
        <f>N41</f>
        <v>3850</v>
      </c>
      <c r="F41" s="228">
        <f>D41/N41</f>
        <v>0.35395324675324674</v>
      </c>
      <c r="G41" s="253" t="s">
        <v>397</v>
      </c>
      <c r="H41" s="244">
        <v>3250</v>
      </c>
      <c r="I41" s="253" t="s">
        <v>394</v>
      </c>
      <c r="J41" s="244">
        <v>110</v>
      </c>
      <c r="K41" s="226" t="s">
        <v>360</v>
      </c>
      <c r="L41" s="245">
        <v>35</v>
      </c>
      <c r="M41" s="226" t="s">
        <v>385</v>
      </c>
      <c r="N41" s="244">
        <f>J41*L41</f>
        <v>3850</v>
      </c>
      <c r="O41" s="243"/>
      <c r="P41" s="257">
        <v>200</v>
      </c>
      <c r="Q41" s="257">
        <v>20500</v>
      </c>
      <c r="R41" s="261"/>
      <c r="S41" s="257">
        <v>49600</v>
      </c>
      <c r="T41" s="261"/>
      <c r="U41" s="257">
        <v>93700</v>
      </c>
      <c r="V41" s="257">
        <v>98600</v>
      </c>
      <c r="W41" s="257">
        <v>140700</v>
      </c>
      <c r="X41" s="257">
        <v>178000</v>
      </c>
      <c r="Y41" s="172"/>
      <c r="Z41" s="6"/>
      <c r="AA41" s="6"/>
      <c r="AB41" s="6"/>
      <c r="AC41" s="6"/>
    </row>
    <row r="42" spans="1:29" ht="22.9" customHeight="1" x14ac:dyDescent="0.25">
      <c r="A42" s="171"/>
      <c r="B42" s="204">
        <f t="shared" si="3"/>
        <v>0</v>
      </c>
      <c r="C42" s="267"/>
      <c r="D42" s="227"/>
      <c r="E42" s="227"/>
      <c r="F42" s="228"/>
      <c r="G42" s="243"/>
      <c r="H42" s="244"/>
      <c r="I42" s="243"/>
      <c r="J42" s="244"/>
      <c r="K42" s="227"/>
      <c r="L42" s="245"/>
      <c r="M42" s="227"/>
      <c r="N42" s="244"/>
      <c r="O42" s="243"/>
      <c r="P42" s="268"/>
      <c r="Q42" s="269"/>
      <c r="R42" s="233"/>
      <c r="S42" s="258"/>
      <c r="T42" s="254"/>
      <c r="U42" s="270"/>
      <c r="V42" s="259">
        <f>(V41-U41-V43+U43)*7.48/(V$7-U$7)/$N41</f>
        <v>0.38857142857142857</v>
      </c>
      <c r="W42" s="259">
        <f>(W41-V41-W43+V43)*7.48/(W$7-V$7)/$N41</f>
        <v>0.3820952380952381</v>
      </c>
      <c r="X42" s="259">
        <f>(X41-W41-X43+W43)*7.48/(X$7-W$7)/$N41</f>
        <v>0.31778516057585821</v>
      </c>
      <c r="Y42" s="172"/>
      <c r="Z42" s="231" t="s">
        <v>376</v>
      </c>
      <c r="AA42" s="6"/>
      <c r="AB42" s="6"/>
      <c r="AC42" s="6"/>
    </row>
    <row r="43" spans="1:29" ht="19.149999999999999" customHeight="1" x14ac:dyDescent="0.25">
      <c r="A43" s="6"/>
      <c r="B43" s="225">
        <f t="shared" si="3"/>
        <v>0</v>
      </c>
      <c r="C43" s="221"/>
      <c r="D43" s="227"/>
      <c r="E43" s="227"/>
      <c r="F43" s="228"/>
      <c r="G43" s="253" t="s">
        <v>156</v>
      </c>
      <c r="H43" s="244"/>
      <c r="I43" s="243"/>
      <c r="J43" s="244"/>
      <c r="K43" s="227"/>
      <c r="L43" s="245"/>
      <c r="M43" s="227"/>
      <c r="N43" s="244"/>
      <c r="O43" s="243"/>
      <c r="P43" s="261"/>
      <c r="Q43" s="228">
        <f>(Q41-P41)*7.48/(Q$7-P$7)/N41</f>
        <v>0.3370940170940171</v>
      </c>
      <c r="R43" s="247"/>
      <c r="S43" s="271"/>
      <c r="T43" s="257">
        <v>39400</v>
      </c>
      <c r="U43" s="257">
        <v>44800</v>
      </c>
      <c r="V43" s="257">
        <v>48300</v>
      </c>
      <c r="W43" s="257">
        <v>78600</v>
      </c>
      <c r="X43" s="257">
        <v>94800</v>
      </c>
      <c r="Y43" s="172"/>
      <c r="Z43" s="231" t="s">
        <v>388</v>
      </c>
      <c r="AA43" s="6"/>
      <c r="AB43" s="6"/>
      <c r="AC43" s="6"/>
    </row>
    <row r="44" spans="1:29" ht="19.149999999999999" customHeight="1" x14ac:dyDescent="0.25">
      <c r="A44" s="6"/>
      <c r="B44" s="33">
        <f t="shared" si="3"/>
        <v>0</v>
      </c>
      <c r="C44" s="6"/>
      <c r="D44" s="220"/>
      <c r="E44" s="235"/>
      <c r="F44" s="272"/>
      <c r="G44" s="273" t="s">
        <v>379</v>
      </c>
      <c r="H44" s="244">
        <v>150</v>
      </c>
      <c r="I44" s="244"/>
      <c r="J44" s="244"/>
      <c r="K44" s="244"/>
      <c r="L44" s="244"/>
      <c r="M44" s="244"/>
      <c r="N44" s="260"/>
      <c r="O44" s="243"/>
      <c r="P44" s="247"/>
      <c r="Q44" s="258"/>
      <c r="R44" s="233"/>
      <c r="S44" s="233"/>
      <c r="T44" s="258"/>
      <c r="U44" s="258"/>
      <c r="V44" s="258"/>
      <c r="W44" s="258"/>
      <c r="X44" s="258"/>
      <c r="Y44" s="6"/>
      <c r="Z44" s="6"/>
      <c r="AA44" s="6"/>
      <c r="AB44" s="6"/>
      <c r="AC44" s="6"/>
    </row>
    <row r="45" spans="1:29" ht="19.149999999999999" customHeight="1" x14ac:dyDescent="0.25">
      <c r="A45" s="6"/>
      <c r="B45" s="240">
        <f t="shared" si="3"/>
        <v>3908</v>
      </c>
      <c r="C45" s="6"/>
      <c r="D45" s="33"/>
      <c r="E45" s="82">
        <f>N45</f>
        <v>3908</v>
      </c>
      <c r="F45" s="274"/>
      <c r="G45" s="273" t="s">
        <v>368</v>
      </c>
      <c r="H45" s="244">
        <f>SUM(H40:H44)</f>
        <v>4560</v>
      </c>
      <c r="I45" s="244"/>
      <c r="J45" s="244"/>
      <c r="K45" s="244"/>
      <c r="L45" s="244"/>
      <c r="M45" s="244"/>
      <c r="N45" s="242">
        <f>SUM(N39:N44)</f>
        <v>3908</v>
      </c>
      <c r="O45" s="243"/>
      <c r="P45" s="247"/>
      <c r="Q45" s="233"/>
      <c r="R45" s="233"/>
      <c r="S45" s="254"/>
      <c r="T45" s="233"/>
      <c r="U45" s="254"/>
      <c r="V45" s="254"/>
      <c r="W45" s="254"/>
      <c r="X45" s="254"/>
      <c r="Y45" s="6"/>
      <c r="Z45" s="6"/>
      <c r="AA45" s="6"/>
      <c r="AB45" s="6"/>
      <c r="AC45" s="6"/>
    </row>
    <row r="46" spans="1:29" ht="19.149999999999999" customHeight="1" x14ac:dyDescent="0.25">
      <c r="A46" s="6"/>
      <c r="B46" s="33">
        <f t="shared" si="3"/>
        <v>0</v>
      </c>
      <c r="C46" s="6"/>
      <c r="D46" s="33"/>
      <c r="E46" s="82"/>
      <c r="F46" s="274"/>
      <c r="G46" s="244"/>
      <c r="H46" s="244"/>
      <c r="I46" s="244"/>
      <c r="J46" s="244"/>
      <c r="K46" s="244"/>
      <c r="L46" s="244"/>
      <c r="M46" s="244"/>
      <c r="N46" s="252"/>
      <c r="O46" s="243"/>
      <c r="P46" s="247"/>
      <c r="Q46" s="233"/>
      <c r="R46" s="256"/>
      <c r="S46" s="257">
        <v>2500</v>
      </c>
      <c r="T46" s="261"/>
      <c r="U46" s="257">
        <v>4000</v>
      </c>
      <c r="V46" s="257">
        <v>4500</v>
      </c>
      <c r="W46" s="257">
        <v>9200</v>
      </c>
      <c r="X46" s="257">
        <v>26300</v>
      </c>
      <c r="Y46" s="172"/>
      <c r="Z46" s="6"/>
      <c r="AA46" s="6"/>
      <c r="AB46" s="6"/>
      <c r="AC46" s="6"/>
    </row>
    <row r="47" spans="1:29" ht="19.149999999999999" customHeight="1" x14ac:dyDescent="0.25">
      <c r="A47" s="232" t="s">
        <v>100</v>
      </c>
      <c r="B47" s="33">
        <f t="shared" si="3"/>
        <v>800</v>
      </c>
      <c r="C47" s="6"/>
      <c r="D47" s="77"/>
      <c r="E47" s="82">
        <f t="shared" ref="E47:E53" si="4">N47</f>
        <v>800</v>
      </c>
      <c r="F47" s="237"/>
      <c r="G47" s="251" t="s">
        <v>398</v>
      </c>
      <c r="H47" s="244">
        <v>1885</v>
      </c>
      <c r="I47" s="253" t="s">
        <v>374</v>
      </c>
      <c r="J47" s="244">
        <v>8</v>
      </c>
      <c r="K47" s="226" t="s">
        <v>360</v>
      </c>
      <c r="L47" s="245">
        <v>100</v>
      </c>
      <c r="M47" s="226" t="s">
        <v>375</v>
      </c>
      <c r="N47" s="244">
        <f>J47*L47</f>
        <v>800</v>
      </c>
      <c r="O47" s="243"/>
      <c r="P47" s="247"/>
      <c r="Q47" s="233"/>
      <c r="R47" s="233"/>
      <c r="S47" s="258"/>
      <c r="T47" s="233"/>
      <c r="U47" s="264"/>
      <c r="V47" s="259">
        <f>(V46-U46)*7.48/(V7-T7)/$N47</f>
        <v>0.25972222222222219</v>
      </c>
      <c r="W47" s="259">
        <f>(W46-V46)*7.48/(W7-U7)/$N47</f>
        <v>0.65589552238805959</v>
      </c>
      <c r="X47" s="259">
        <f>(X46-W46)*7.48/(X7-V7)/$N47</f>
        <v>0.84595238095238101</v>
      </c>
      <c r="Y47" s="275" t="s">
        <v>100</v>
      </c>
      <c r="Z47" s="231" t="s">
        <v>399</v>
      </c>
      <c r="AA47" s="6"/>
      <c r="AB47" s="6"/>
      <c r="AC47" s="6"/>
    </row>
    <row r="48" spans="1:29" ht="19.149999999999999" customHeight="1" x14ac:dyDescent="0.25">
      <c r="A48" s="6"/>
      <c r="B48" s="33">
        <f t="shared" si="3"/>
        <v>103.25</v>
      </c>
      <c r="C48" s="6"/>
      <c r="D48" s="77"/>
      <c r="E48" s="82">
        <f t="shared" si="4"/>
        <v>103.25</v>
      </c>
      <c r="F48" s="237"/>
      <c r="G48" s="251" t="s">
        <v>400</v>
      </c>
      <c r="H48" s="244">
        <v>2065</v>
      </c>
      <c r="I48" s="253" t="s">
        <v>363</v>
      </c>
      <c r="J48" s="244">
        <f>H48</f>
        <v>2065</v>
      </c>
      <c r="K48" s="226" t="s">
        <v>360</v>
      </c>
      <c r="L48" s="245">
        <v>50</v>
      </c>
      <c r="M48" s="226" t="s">
        <v>364</v>
      </c>
      <c r="N48" s="244">
        <f>J48/1000*L48</f>
        <v>103.25</v>
      </c>
      <c r="O48" s="243"/>
      <c r="P48" s="247"/>
      <c r="Q48" s="233"/>
      <c r="R48" s="233"/>
      <c r="S48" s="233"/>
      <c r="T48" s="233"/>
      <c r="U48" s="233"/>
      <c r="V48" s="258"/>
      <c r="W48" s="258"/>
      <c r="X48" s="258"/>
      <c r="Y48" s="6"/>
      <c r="Z48" s="231" t="s">
        <v>401</v>
      </c>
      <c r="AA48" s="6"/>
      <c r="AB48" s="6"/>
      <c r="AC48" s="6"/>
    </row>
    <row r="49" spans="1:29" ht="19.149999999999999" customHeight="1" x14ac:dyDescent="0.25">
      <c r="A49" s="6"/>
      <c r="B49" s="33">
        <f t="shared" si="3"/>
        <v>162.5</v>
      </c>
      <c r="C49" s="6"/>
      <c r="D49" s="77"/>
      <c r="E49" s="82">
        <f t="shared" si="4"/>
        <v>162.5</v>
      </c>
      <c r="F49" s="237"/>
      <c r="G49" s="251" t="s">
        <v>369</v>
      </c>
      <c r="H49" s="244">
        <v>3250</v>
      </c>
      <c r="I49" s="253" t="s">
        <v>363</v>
      </c>
      <c r="J49" s="244">
        <f>H49</f>
        <v>3250</v>
      </c>
      <c r="K49" s="226" t="s">
        <v>360</v>
      </c>
      <c r="L49" s="245">
        <v>50</v>
      </c>
      <c r="M49" s="226" t="s">
        <v>364</v>
      </c>
      <c r="N49" s="244">
        <f>J49/1000*L49</f>
        <v>162.5</v>
      </c>
      <c r="O49" s="243"/>
      <c r="P49" s="247"/>
      <c r="Q49" s="233"/>
      <c r="R49" s="233"/>
      <c r="S49" s="233"/>
      <c r="T49" s="233"/>
      <c r="U49" s="233"/>
      <c r="V49" s="233"/>
      <c r="W49" s="233"/>
      <c r="X49" s="233"/>
      <c r="Y49" s="6"/>
      <c r="Z49" s="6"/>
      <c r="AA49" s="6"/>
      <c r="AB49" s="6"/>
      <c r="AC49" s="6"/>
    </row>
    <row r="50" spans="1:29" ht="19.149999999999999" customHeight="1" x14ac:dyDescent="0.25">
      <c r="A50" s="6"/>
      <c r="B50" s="33">
        <f t="shared" si="3"/>
        <v>110.94999999999999</v>
      </c>
      <c r="C50" s="6"/>
      <c r="D50" s="77"/>
      <c r="E50" s="82">
        <f t="shared" si="4"/>
        <v>110.94999999999999</v>
      </c>
      <c r="F50" s="237"/>
      <c r="G50" s="251" t="s">
        <v>369</v>
      </c>
      <c r="H50" s="244">
        <v>2219</v>
      </c>
      <c r="I50" s="253" t="s">
        <v>363</v>
      </c>
      <c r="J50" s="244">
        <f>H50</f>
        <v>2219</v>
      </c>
      <c r="K50" s="226" t="s">
        <v>360</v>
      </c>
      <c r="L50" s="245">
        <v>50</v>
      </c>
      <c r="M50" s="226" t="s">
        <v>364</v>
      </c>
      <c r="N50" s="244">
        <f>J50/1000*L50</f>
        <v>110.94999999999999</v>
      </c>
      <c r="O50" s="243"/>
      <c r="P50" s="247"/>
      <c r="Q50" s="233"/>
      <c r="R50" s="233"/>
      <c r="S50" s="233"/>
      <c r="T50" s="233"/>
      <c r="U50" s="233"/>
      <c r="V50" s="233"/>
      <c r="W50" s="233"/>
      <c r="X50" s="233"/>
      <c r="Y50" s="6"/>
      <c r="Z50" s="6"/>
      <c r="AA50" s="6"/>
      <c r="AB50" s="6"/>
      <c r="AC50" s="6"/>
    </row>
    <row r="51" spans="1:29" ht="19.149999999999999" customHeight="1" x14ac:dyDescent="0.25">
      <c r="A51" s="6"/>
      <c r="B51" s="33">
        <f t="shared" si="3"/>
        <v>117.25000000000001</v>
      </c>
      <c r="C51" s="6"/>
      <c r="D51" s="77"/>
      <c r="E51" s="82">
        <f t="shared" si="4"/>
        <v>117.25000000000001</v>
      </c>
      <c r="F51" s="237"/>
      <c r="G51" s="251" t="s">
        <v>369</v>
      </c>
      <c r="H51" s="244">
        <v>2345</v>
      </c>
      <c r="I51" s="253" t="s">
        <v>363</v>
      </c>
      <c r="J51" s="244">
        <f>H51</f>
        <v>2345</v>
      </c>
      <c r="K51" s="226" t="s">
        <v>360</v>
      </c>
      <c r="L51" s="245">
        <v>50</v>
      </c>
      <c r="M51" s="226" t="s">
        <v>364</v>
      </c>
      <c r="N51" s="244">
        <f>J51/1000*L51</f>
        <v>117.25000000000001</v>
      </c>
      <c r="O51" s="243"/>
      <c r="P51" s="247"/>
      <c r="Q51" s="233"/>
      <c r="R51" s="233"/>
      <c r="S51" s="233"/>
      <c r="T51" s="233"/>
      <c r="U51" s="233"/>
      <c r="V51" s="233"/>
      <c r="W51" s="233"/>
      <c r="X51" s="233"/>
      <c r="Y51" s="6"/>
      <c r="Z51" s="6"/>
      <c r="AA51" s="6"/>
      <c r="AB51" s="6"/>
      <c r="AC51" s="6"/>
    </row>
    <row r="52" spans="1:29" ht="19.149999999999999" customHeight="1" x14ac:dyDescent="0.25">
      <c r="A52" s="6"/>
      <c r="B52" s="33">
        <f t="shared" si="3"/>
        <v>271.55</v>
      </c>
      <c r="C52" s="6"/>
      <c r="D52" s="77"/>
      <c r="E52" s="82">
        <f t="shared" si="4"/>
        <v>271.55</v>
      </c>
      <c r="F52" s="237"/>
      <c r="G52" s="251" t="s">
        <v>369</v>
      </c>
      <c r="H52" s="260">
        <v>5431</v>
      </c>
      <c r="I52" s="253" t="s">
        <v>363</v>
      </c>
      <c r="J52" s="244">
        <f>H52</f>
        <v>5431</v>
      </c>
      <c r="K52" s="226" t="s">
        <v>360</v>
      </c>
      <c r="L52" s="245">
        <v>50</v>
      </c>
      <c r="M52" s="226" t="s">
        <v>364</v>
      </c>
      <c r="N52" s="260">
        <f>J52/1000*L52</f>
        <v>271.55</v>
      </c>
      <c r="O52" s="243"/>
      <c r="P52" s="247"/>
      <c r="Q52" s="233"/>
      <c r="R52" s="233"/>
      <c r="S52" s="233"/>
      <c r="T52" s="233"/>
      <c r="U52" s="233"/>
      <c r="V52" s="233"/>
      <c r="W52" s="233"/>
      <c r="X52" s="233"/>
      <c r="Y52" s="6"/>
      <c r="Z52" s="6"/>
      <c r="AA52" s="6"/>
      <c r="AB52" s="6"/>
      <c r="AC52" s="6"/>
    </row>
    <row r="53" spans="1:29" ht="19.149999999999999" customHeight="1" x14ac:dyDescent="0.25">
      <c r="A53" s="6"/>
      <c r="B53" s="33">
        <f t="shared" si="3"/>
        <v>1565.5</v>
      </c>
      <c r="C53" s="6"/>
      <c r="D53" s="77"/>
      <c r="E53" s="82">
        <f t="shared" si="4"/>
        <v>1565.5</v>
      </c>
      <c r="F53" s="238"/>
      <c r="G53" s="276" t="s">
        <v>402</v>
      </c>
      <c r="H53" s="44">
        <f>SUM(H47:H52)</f>
        <v>17195</v>
      </c>
      <c r="I53" s="277"/>
      <c r="J53" s="225"/>
      <c r="K53" s="234"/>
      <c r="L53" s="278"/>
      <c r="M53" s="234"/>
      <c r="N53" s="44">
        <f>SUM(N47:N52)</f>
        <v>1565.5</v>
      </c>
      <c r="O53" s="220"/>
      <c r="P53" s="233"/>
      <c r="Q53" s="233"/>
      <c r="R53" s="233"/>
      <c r="S53" s="233"/>
      <c r="T53" s="233"/>
      <c r="U53" s="233"/>
      <c r="V53" s="233"/>
      <c r="W53" s="233"/>
      <c r="X53" s="233"/>
      <c r="Y53" s="6"/>
      <c r="Z53" s="6"/>
      <c r="AA53" s="6"/>
      <c r="AB53" s="6"/>
      <c r="AC53" s="6"/>
    </row>
    <row r="54" spans="1:29" ht="19.149999999999999" customHeight="1" x14ac:dyDescent="0.25">
      <c r="A54" s="6"/>
      <c r="B54" s="33">
        <f t="shared" si="3"/>
        <v>0</v>
      </c>
      <c r="C54" s="6"/>
      <c r="D54" s="77"/>
      <c r="E54" s="82"/>
      <c r="F54" s="238"/>
      <c r="G54" s="178"/>
      <c r="H54" s="33"/>
      <c r="I54" s="2"/>
      <c r="J54" s="33"/>
      <c r="K54" s="77"/>
      <c r="L54" s="39"/>
      <c r="M54" s="77"/>
      <c r="N54" s="33"/>
      <c r="O54" s="6"/>
      <c r="P54" s="233"/>
      <c r="Q54" s="233"/>
      <c r="R54" s="233"/>
      <c r="S54" s="233"/>
      <c r="T54" s="233"/>
      <c r="U54" s="233"/>
      <c r="V54" s="233"/>
      <c r="W54" s="233"/>
      <c r="X54" s="233"/>
      <c r="Y54" s="6"/>
      <c r="Z54" s="6"/>
      <c r="AA54" s="6"/>
      <c r="AB54" s="6"/>
      <c r="AC54" s="6"/>
    </row>
    <row r="55" spans="1:29" ht="19.149999999999999" customHeight="1" x14ac:dyDescent="0.25">
      <c r="A55" s="6"/>
      <c r="B55" s="33">
        <f t="shared" si="3"/>
        <v>1320</v>
      </c>
      <c r="C55" s="6"/>
      <c r="D55" s="77"/>
      <c r="E55" s="82">
        <f>N55</f>
        <v>1320</v>
      </c>
      <c r="F55" s="237"/>
      <c r="G55" s="229" t="s">
        <v>403</v>
      </c>
      <c r="H55" s="279">
        <v>13200</v>
      </c>
      <c r="I55" s="231" t="s">
        <v>404</v>
      </c>
      <c r="J55" s="33">
        <v>12</v>
      </c>
      <c r="K55" s="232" t="s">
        <v>360</v>
      </c>
      <c r="L55" s="39">
        <v>110</v>
      </c>
      <c r="M55" s="232" t="s">
        <v>405</v>
      </c>
      <c r="N55" s="53">
        <f>J55*L55</f>
        <v>1320</v>
      </c>
      <c r="O55" s="6"/>
      <c r="P55" s="233"/>
      <c r="Q55" s="233"/>
      <c r="R55" s="233"/>
      <c r="S55" s="233"/>
      <c r="T55" s="233"/>
      <c r="U55" s="233"/>
      <c r="V55" s="233"/>
      <c r="W55" s="233"/>
      <c r="X55" s="233"/>
      <c r="Y55" s="6"/>
      <c r="Z55" s="6"/>
      <c r="AA55" s="6"/>
      <c r="AB55" s="6"/>
      <c r="AC55" s="6"/>
    </row>
    <row r="56" spans="1:29" ht="19.149999999999999" customHeight="1" x14ac:dyDescent="0.25">
      <c r="A56" s="6"/>
      <c r="B56" s="240">
        <f t="shared" si="3"/>
        <v>2885.5</v>
      </c>
      <c r="C56" s="6"/>
      <c r="D56" s="77"/>
      <c r="E56" s="82">
        <f>N56</f>
        <v>2885.5</v>
      </c>
      <c r="F56" s="238"/>
      <c r="G56" s="276" t="s">
        <v>368</v>
      </c>
      <c r="H56" s="82">
        <f>SUM(H53:H55)</f>
        <v>30395</v>
      </c>
      <c r="I56" s="6"/>
      <c r="J56" s="6"/>
      <c r="K56" s="6"/>
      <c r="L56" s="6"/>
      <c r="M56" s="6"/>
      <c r="N56" s="82">
        <f>SUM(N53:N55)</f>
        <v>2885.5</v>
      </c>
      <c r="O56" s="6"/>
      <c r="P56" s="233"/>
      <c r="Q56" s="233"/>
      <c r="R56" s="233"/>
      <c r="S56" s="233"/>
      <c r="T56" s="233"/>
      <c r="U56" s="233"/>
      <c r="V56" s="233"/>
      <c r="W56" s="233"/>
      <c r="X56" s="233"/>
      <c r="Y56" s="6"/>
      <c r="Z56" s="6"/>
      <c r="AA56" s="6"/>
      <c r="AB56" s="6"/>
      <c r="AC56" s="6"/>
    </row>
    <row r="57" spans="1:29" ht="19.149999999999999" customHeight="1" x14ac:dyDescent="0.25">
      <c r="A57" s="6"/>
      <c r="B57" s="178">
        <f t="shared" si="3"/>
        <v>0</v>
      </c>
      <c r="C57" s="178"/>
      <c r="D57" s="249"/>
      <c r="E57" s="82"/>
      <c r="F57" s="280"/>
      <c r="G57" s="178"/>
      <c r="H57" s="27"/>
      <c r="I57" s="6"/>
      <c r="J57" s="6"/>
      <c r="K57" s="6"/>
      <c r="L57" s="6"/>
      <c r="M57" s="6"/>
      <c r="N57" s="27"/>
      <c r="O57" s="6"/>
      <c r="P57" s="233"/>
      <c r="Q57" s="233"/>
      <c r="R57" s="233"/>
      <c r="S57" s="254"/>
      <c r="T57" s="233"/>
      <c r="U57" s="254"/>
      <c r="V57" s="254"/>
      <c r="W57" s="254"/>
      <c r="X57" s="254"/>
      <c r="Y57" s="6"/>
      <c r="Z57" s="6"/>
      <c r="AA57" s="6"/>
      <c r="AB57" s="6"/>
      <c r="AC57" s="6"/>
    </row>
    <row r="58" spans="1:29" ht="22.9" customHeight="1" x14ac:dyDescent="0.25">
      <c r="A58" s="281" t="s">
        <v>129</v>
      </c>
      <c r="B58" s="282">
        <f t="shared" si="3"/>
        <v>3850</v>
      </c>
      <c r="C58" s="226" t="s">
        <v>370</v>
      </c>
      <c r="D58" s="227">
        <f>(V58-S58)*7.48/(V7-S7)</f>
        <v>1506.5352112676057</v>
      </c>
      <c r="E58" s="255">
        <f>N58</f>
        <v>3850</v>
      </c>
      <c r="F58" s="228">
        <f>D58/N58</f>
        <v>0.391307847082495</v>
      </c>
      <c r="G58" s="253" t="s">
        <v>406</v>
      </c>
      <c r="H58" s="279">
        <v>4113</v>
      </c>
      <c r="I58" s="231" t="s">
        <v>394</v>
      </c>
      <c r="J58" s="33">
        <v>110</v>
      </c>
      <c r="K58" s="232" t="s">
        <v>360</v>
      </c>
      <c r="L58" s="39">
        <v>35</v>
      </c>
      <c r="M58" s="232" t="s">
        <v>385</v>
      </c>
      <c r="N58" s="53">
        <f>J58*L58</f>
        <v>3850</v>
      </c>
      <c r="O58" s="6"/>
      <c r="P58" s="233"/>
      <c r="Q58" s="233"/>
      <c r="R58" s="256"/>
      <c r="S58" s="257">
        <v>12100</v>
      </c>
      <c r="T58" s="261"/>
      <c r="U58" s="257">
        <v>25200</v>
      </c>
      <c r="V58" s="257">
        <v>26400</v>
      </c>
      <c r="W58" s="257">
        <v>38200</v>
      </c>
      <c r="X58" s="257">
        <v>62800</v>
      </c>
      <c r="Y58" s="275" t="s">
        <v>129</v>
      </c>
      <c r="Z58" s="6"/>
      <c r="AA58" s="6"/>
      <c r="AB58" s="6"/>
      <c r="AC58" s="6"/>
    </row>
    <row r="59" spans="1:29" ht="19.149999999999999" customHeight="1" x14ac:dyDescent="0.25">
      <c r="A59" s="6"/>
      <c r="B59" s="189">
        <f t="shared" si="3"/>
        <v>0</v>
      </c>
      <c r="C59" s="189"/>
      <c r="D59" s="189"/>
      <c r="E59" s="235"/>
      <c r="F59" s="283"/>
      <c r="G59" s="189"/>
      <c r="H59" s="27"/>
      <c r="I59" s="6"/>
      <c r="J59" s="6"/>
      <c r="K59" s="6"/>
      <c r="L59" s="6"/>
      <c r="M59" s="6"/>
      <c r="N59" s="27"/>
      <c r="O59" s="6"/>
      <c r="P59" s="233"/>
      <c r="Q59" s="233"/>
      <c r="R59" s="233"/>
      <c r="S59" s="269"/>
      <c r="T59" s="254"/>
      <c r="U59" s="270"/>
      <c r="V59" s="259">
        <f>(V58-U58)*7.48/(V7-T7)/$N58</f>
        <v>0.12952380952380954</v>
      </c>
      <c r="W59" s="259">
        <f>(W58-V58)*7.48/(W7-U7)/$N58</f>
        <v>0.34217484008528787</v>
      </c>
      <c r="X59" s="259">
        <f>(X58-W58)*7.48/(X7-V7)/$N58</f>
        <v>0.2528798185941043</v>
      </c>
      <c r="Y59" s="172"/>
      <c r="Z59" s="231" t="s">
        <v>376</v>
      </c>
      <c r="AA59" s="6"/>
      <c r="AB59" s="6"/>
      <c r="AC59" s="6"/>
    </row>
    <row r="60" spans="1:29" ht="22.9" customHeight="1" x14ac:dyDescent="0.25">
      <c r="A60" s="281" t="s">
        <v>135</v>
      </c>
      <c r="B60" s="204">
        <f t="shared" ref="B60:B76" si="5">N60</f>
        <v>120</v>
      </c>
      <c r="C60" s="226" t="s">
        <v>382</v>
      </c>
      <c r="D60" s="227">
        <f>(V60-T60-(V61-T61))*7.48/(V7-T7)</f>
        <v>124.66666666666667</v>
      </c>
      <c r="E60" s="255">
        <f>N60</f>
        <v>120</v>
      </c>
      <c r="F60" s="228">
        <f>D60/N60</f>
        <v>1.038888888888889</v>
      </c>
      <c r="G60" s="253" t="s">
        <v>407</v>
      </c>
      <c r="H60" s="230">
        <v>2400</v>
      </c>
      <c r="I60" s="231" t="s">
        <v>363</v>
      </c>
      <c r="J60" s="33">
        <v>2400</v>
      </c>
      <c r="K60" s="232" t="s">
        <v>360</v>
      </c>
      <c r="L60" s="39">
        <v>50</v>
      </c>
      <c r="M60" s="232" t="s">
        <v>364</v>
      </c>
      <c r="N60" s="33">
        <f>J60/1000*L60</f>
        <v>120</v>
      </c>
      <c r="O60" s="6"/>
      <c r="P60" s="233"/>
      <c r="Q60" s="233"/>
      <c r="R60" s="256"/>
      <c r="S60" s="257">
        <v>800</v>
      </c>
      <c r="T60" s="257">
        <v>11400</v>
      </c>
      <c r="U60" s="257">
        <v>13200</v>
      </c>
      <c r="V60" s="257">
        <v>14300</v>
      </c>
      <c r="W60" s="257">
        <v>27100</v>
      </c>
      <c r="X60" s="257">
        <v>78300</v>
      </c>
      <c r="Y60" s="275" t="s">
        <v>135</v>
      </c>
      <c r="Z60" s="231" t="s">
        <v>408</v>
      </c>
      <c r="AA60" s="6"/>
      <c r="AB60" s="6"/>
      <c r="AC60" s="6"/>
    </row>
    <row r="61" spans="1:29" ht="19.149999999999999" customHeight="1" x14ac:dyDescent="0.25">
      <c r="A61" s="6"/>
      <c r="B61" s="220">
        <f t="shared" si="5"/>
        <v>0</v>
      </c>
      <c r="C61" s="221"/>
      <c r="D61" s="227"/>
      <c r="E61" s="227"/>
      <c r="F61" s="228"/>
      <c r="G61" s="253" t="s">
        <v>156</v>
      </c>
      <c r="H61" s="172"/>
      <c r="I61" s="6"/>
      <c r="J61" s="6"/>
      <c r="K61" s="6"/>
      <c r="L61" s="6"/>
      <c r="M61" s="6"/>
      <c r="N61" s="6"/>
      <c r="O61" s="6"/>
      <c r="P61" s="233"/>
      <c r="Q61" s="233"/>
      <c r="R61" s="233"/>
      <c r="S61" s="264"/>
      <c r="T61" s="257">
        <v>10600</v>
      </c>
      <c r="U61" s="257">
        <v>12200</v>
      </c>
      <c r="V61" s="257">
        <v>13200</v>
      </c>
      <c r="W61" s="257">
        <v>20000</v>
      </c>
      <c r="X61" s="257">
        <v>23400</v>
      </c>
      <c r="Y61" s="172"/>
      <c r="Z61" s="231" t="s">
        <v>409</v>
      </c>
      <c r="AA61" s="6"/>
      <c r="AB61" s="6"/>
      <c r="AC61" s="6"/>
    </row>
    <row r="62" spans="1:29" ht="19.149999999999999" customHeight="1" x14ac:dyDescent="0.25">
      <c r="A62" s="6"/>
      <c r="B62" s="33">
        <f t="shared" si="5"/>
        <v>5250</v>
      </c>
      <c r="C62" s="6"/>
      <c r="D62" s="220"/>
      <c r="E62" s="235">
        <f>N62</f>
        <v>5250</v>
      </c>
      <c r="F62" s="236"/>
      <c r="G62" s="229" t="s">
        <v>394</v>
      </c>
      <c r="H62" s="230">
        <v>6008</v>
      </c>
      <c r="I62" s="231" t="s">
        <v>394</v>
      </c>
      <c r="J62" s="33">
        <v>150</v>
      </c>
      <c r="K62" s="232" t="s">
        <v>360</v>
      </c>
      <c r="L62" s="39">
        <v>35</v>
      </c>
      <c r="M62" s="232" t="s">
        <v>385</v>
      </c>
      <c r="N62" s="33">
        <f>J62*L62</f>
        <v>5250</v>
      </c>
      <c r="O62" s="6"/>
      <c r="P62" s="233"/>
      <c r="Q62" s="233"/>
      <c r="R62" s="233"/>
      <c r="S62" s="233"/>
      <c r="T62" s="264"/>
      <c r="U62" s="259">
        <f>(U60-U61-T60+T61)*7.48/(U7-T7)/$N60</f>
        <v>1.1333333333333333</v>
      </c>
      <c r="V62" s="259">
        <f>(V60-V61-U60+U61)*7.48/(V7-U7)/$N60</f>
        <v>0.89047619047619053</v>
      </c>
      <c r="W62" s="259">
        <f>(W60-W61-V60+V61)*7.48/(W7-V7)/$N60</f>
        <v>6.2333333333333334</v>
      </c>
      <c r="X62" s="259">
        <f>(X60-X61-W60+W61)*7.48/(X7-W7)/$N60</f>
        <v>23.097157622739019</v>
      </c>
      <c r="Y62" s="172"/>
      <c r="Z62" s="231" t="s">
        <v>410</v>
      </c>
      <c r="AA62" s="6"/>
      <c r="AB62" s="6"/>
      <c r="AC62" s="6"/>
    </row>
    <row r="63" spans="1:29" ht="19.149999999999999" customHeight="1" x14ac:dyDescent="0.25">
      <c r="A63" s="6"/>
      <c r="B63" s="6">
        <f t="shared" si="5"/>
        <v>0</v>
      </c>
      <c r="C63" s="6"/>
      <c r="D63" s="77"/>
      <c r="E63" s="82"/>
      <c r="F63" s="238"/>
      <c r="G63" s="284" t="s">
        <v>379</v>
      </c>
      <c r="H63" s="53">
        <v>162</v>
      </c>
      <c r="I63" s="6"/>
      <c r="J63" s="6"/>
      <c r="K63" s="6"/>
      <c r="L63" s="6"/>
      <c r="M63" s="6"/>
      <c r="N63" s="14"/>
      <c r="O63" s="6"/>
      <c r="P63" s="233"/>
      <c r="Q63" s="233"/>
      <c r="R63" s="233"/>
      <c r="S63" s="233"/>
      <c r="T63" s="233"/>
      <c r="U63" s="258"/>
      <c r="V63" s="258"/>
      <c r="W63" s="258"/>
      <c r="X63" s="258"/>
      <c r="Y63" s="6"/>
      <c r="Z63" s="231" t="s">
        <v>411</v>
      </c>
      <c r="AA63" s="6"/>
      <c r="AB63" s="6"/>
      <c r="AC63" s="6"/>
    </row>
    <row r="64" spans="1:29" ht="19.149999999999999" customHeight="1" x14ac:dyDescent="0.25">
      <c r="A64" s="6"/>
      <c r="B64" s="240">
        <f t="shared" si="5"/>
        <v>5370</v>
      </c>
      <c r="C64" s="6"/>
      <c r="D64" s="77"/>
      <c r="E64" s="82">
        <f>N64</f>
        <v>5370</v>
      </c>
      <c r="F64" s="238"/>
      <c r="G64" s="285" t="s">
        <v>368</v>
      </c>
      <c r="H64" s="82">
        <f>SUM(H60:H63)</f>
        <v>8570</v>
      </c>
      <c r="I64" s="6"/>
      <c r="J64" s="6"/>
      <c r="K64" s="6"/>
      <c r="L64" s="6"/>
      <c r="M64" s="6"/>
      <c r="N64" s="82">
        <f>SUM(N60:N63)</f>
        <v>5370</v>
      </c>
      <c r="O64" s="6"/>
      <c r="P64" s="233"/>
      <c r="Q64" s="233"/>
      <c r="R64" s="233"/>
      <c r="S64" s="233"/>
      <c r="T64" s="233"/>
      <c r="U64" s="233"/>
      <c r="V64" s="233"/>
      <c r="W64" s="233"/>
      <c r="X64" s="233"/>
      <c r="Y64" s="6"/>
      <c r="Z64" s="6"/>
      <c r="AA64" s="6"/>
      <c r="AB64" s="6"/>
      <c r="AC64" s="6"/>
    </row>
    <row r="65" spans="1:29" ht="19.149999999999999" customHeight="1" x14ac:dyDescent="0.25">
      <c r="A65" s="6"/>
      <c r="B65" s="33">
        <f t="shared" si="5"/>
        <v>0</v>
      </c>
      <c r="C65" s="6"/>
      <c r="D65" s="77"/>
      <c r="E65" s="44"/>
      <c r="F65" s="238"/>
      <c r="G65" s="286"/>
      <c r="H65" s="82"/>
      <c r="I65" s="6"/>
      <c r="J65" s="6"/>
      <c r="K65" s="6"/>
      <c r="L65" s="6"/>
      <c r="M65" s="6"/>
      <c r="N65" s="82"/>
      <c r="O65" s="6"/>
      <c r="P65" s="233"/>
      <c r="Q65" s="233"/>
      <c r="R65" s="233"/>
      <c r="S65" s="233"/>
      <c r="T65" s="233"/>
      <c r="U65" s="233"/>
      <c r="V65" s="233"/>
      <c r="W65" s="233"/>
      <c r="X65" s="233"/>
      <c r="Y65" s="6"/>
      <c r="Z65" s="6"/>
      <c r="AA65" s="6"/>
      <c r="AB65" s="6"/>
      <c r="AC65" s="6"/>
    </row>
    <row r="66" spans="1:29" ht="19.149999999999999" customHeight="1" x14ac:dyDescent="0.25">
      <c r="A66" s="232" t="s">
        <v>412</v>
      </c>
      <c r="B66" s="33">
        <f t="shared" si="5"/>
        <v>0</v>
      </c>
      <c r="C66" s="6"/>
      <c r="D66" s="77"/>
      <c r="E66" s="33"/>
      <c r="F66" s="238"/>
      <c r="G66" s="285" t="s">
        <v>413</v>
      </c>
      <c r="H66" s="82"/>
      <c r="I66" s="6"/>
      <c r="J66" s="6"/>
      <c r="K66" s="6"/>
      <c r="L66" s="6"/>
      <c r="M66" s="6"/>
      <c r="N66" s="82"/>
      <c r="O66" s="6"/>
      <c r="P66" s="233"/>
      <c r="Q66" s="233"/>
      <c r="R66" s="233"/>
      <c r="S66" s="233"/>
      <c r="T66" s="233"/>
      <c r="U66" s="233"/>
      <c r="V66" s="233"/>
      <c r="W66" s="233"/>
      <c r="X66" s="233"/>
      <c r="Y66" s="6"/>
      <c r="Z66" s="6"/>
      <c r="AA66" s="6"/>
      <c r="AB66" s="6"/>
      <c r="AC66" s="6"/>
    </row>
    <row r="67" spans="1:29" ht="19.149999999999999" customHeight="1" x14ac:dyDescent="0.25">
      <c r="A67" s="6"/>
      <c r="B67" s="33">
        <f t="shared" si="5"/>
        <v>0</v>
      </c>
      <c r="C67" s="6"/>
      <c r="D67" s="77"/>
      <c r="E67" s="33"/>
      <c r="F67" s="238"/>
      <c r="G67" s="286"/>
      <c r="H67" s="82"/>
      <c r="I67" s="6"/>
      <c r="J67" s="6"/>
      <c r="K67" s="6"/>
      <c r="L67" s="6"/>
      <c r="M67" s="6"/>
      <c r="N67" s="82"/>
      <c r="O67" s="6"/>
      <c r="P67" s="233"/>
      <c r="Q67" s="233"/>
      <c r="R67" s="233"/>
      <c r="S67" s="233"/>
      <c r="T67" s="233"/>
      <c r="U67" s="233"/>
      <c r="V67" s="233"/>
      <c r="W67" s="233"/>
      <c r="X67" s="233"/>
      <c r="Y67" s="6"/>
      <c r="Z67" s="6"/>
      <c r="AA67" s="6"/>
      <c r="AB67" s="6"/>
      <c r="AC67" s="6"/>
    </row>
    <row r="68" spans="1:29" ht="19.149999999999999" customHeight="1" x14ac:dyDescent="0.25">
      <c r="A68" s="6"/>
      <c r="B68" s="33">
        <f t="shared" si="5"/>
        <v>0</v>
      </c>
      <c r="C68" s="6"/>
      <c r="D68" s="77"/>
      <c r="E68" s="33"/>
      <c r="F68" s="238"/>
      <c r="G68" s="286"/>
      <c r="H68" s="82"/>
      <c r="I68" s="6"/>
      <c r="J68" s="6"/>
      <c r="K68" s="6"/>
      <c r="L68" s="6"/>
      <c r="M68" s="6"/>
      <c r="N68" s="82"/>
      <c r="O68" s="6"/>
      <c r="P68" s="233"/>
      <c r="Q68" s="233"/>
      <c r="R68" s="233"/>
      <c r="S68" s="233"/>
      <c r="T68" s="233"/>
      <c r="U68" s="233"/>
      <c r="V68" s="233"/>
      <c r="W68" s="233"/>
      <c r="X68" s="233"/>
      <c r="Y68" s="6"/>
      <c r="Z68" s="6"/>
      <c r="AA68" s="6"/>
      <c r="AB68" s="6"/>
      <c r="AC68" s="6"/>
    </row>
    <row r="69" spans="1:29" ht="19.149999999999999" customHeight="1" x14ac:dyDescent="0.25">
      <c r="A69" s="6"/>
      <c r="B69" s="248">
        <f t="shared" si="5"/>
        <v>0</v>
      </c>
      <c r="C69" s="178"/>
      <c r="D69" s="249"/>
      <c r="E69" s="248"/>
      <c r="F69" s="280"/>
      <c r="G69" s="287"/>
      <c r="H69" s="82"/>
      <c r="I69" s="6"/>
      <c r="J69" s="6"/>
      <c r="K69" s="6"/>
      <c r="L69" s="6"/>
      <c r="M69" s="6"/>
      <c r="N69" s="82"/>
      <c r="O69" s="6"/>
      <c r="P69" s="254"/>
      <c r="Q69" s="254"/>
      <c r="R69" s="233"/>
      <c r="S69" s="254"/>
      <c r="T69" s="233"/>
      <c r="U69" s="254"/>
      <c r="V69" s="254"/>
      <c r="W69" s="254"/>
      <c r="X69" s="254"/>
      <c r="Y69" s="6"/>
      <c r="Z69" s="6"/>
      <c r="AA69" s="6"/>
      <c r="AB69" s="6"/>
      <c r="AC69" s="6"/>
    </row>
    <row r="70" spans="1:29" ht="22.9" customHeight="1" x14ac:dyDescent="0.25">
      <c r="A70" s="281" t="s">
        <v>23</v>
      </c>
      <c r="B70" s="282">
        <f t="shared" si="5"/>
        <v>4365</v>
      </c>
      <c r="C70" s="226" t="s">
        <v>396</v>
      </c>
      <c r="D70" s="227">
        <f>(V70-P70)*7.48/(V7-P7)</f>
        <v>1395.36</v>
      </c>
      <c r="E70" s="227">
        <f>N70</f>
        <v>4365</v>
      </c>
      <c r="F70" s="228">
        <f>D70/N70</f>
        <v>0.31967010309278349</v>
      </c>
      <c r="G70" s="253" t="s">
        <v>414</v>
      </c>
      <c r="H70" s="288">
        <v>45000</v>
      </c>
      <c r="I70" s="231" t="s">
        <v>415</v>
      </c>
      <c r="J70" s="33">
        <v>45000</v>
      </c>
      <c r="K70" s="232" t="s">
        <v>360</v>
      </c>
      <c r="L70" s="39">
        <v>97</v>
      </c>
      <c r="M70" s="232" t="s">
        <v>364</v>
      </c>
      <c r="N70" s="82">
        <f>J70/1000*L70</f>
        <v>4365</v>
      </c>
      <c r="O70" s="171"/>
      <c r="P70" s="257">
        <v>1200</v>
      </c>
      <c r="Q70" s="257">
        <v>22600</v>
      </c>
      <c r="R70" s="261"/>
      <c r="S70" s="257">
        <v>39700</v>
      </c>
      <c r="T70" s="261"/>
      <c r="U70" s="257">
        <v>51300</v>
      </c>
      <c r="V70" s="257">
        <v>52500</v>
      </c>
      <c r="W70" s="257">
        <v>62800</v>
      </c>
      <c r="X70" s="257">
        <v>85400</v>
      </c>
      <c r="Y70" s="275" t="s">
        <v>23</v>
      </c>
      <c r="Z70" s="289"/>
      <c r="AA70" s="6"/>
      <c r="AB70" s="6"/>
      <c r="AC70" s="6"/>
    </row>
    <row r="71" spans="1:29" ht="19.149999999999999" customHeight="1" x14ac:dyDescent="0.25">
      <c r="A71" s="6"/>
      <c r="B71" s="220">
        <f t="shared" si="5"/>
        <v>0</v>
      </c>
      <c r="C71" s="220"/>
      <c r="D71" s="220"/>
      <c r="E71" s="235"/>
      <c r="F71" s="263"/>
      <c r="G71" s="220"/>
      <c r="H71" s="27"/>
      <c r="I71" s="6"/>
      <c r="J71" s="6"/>
      <c r="K71" s="6"/>
      <c r="L71" s="6"/>
      <c r="M71" s="6"/>
      <c r="N71" s="27"/>
      <c r="O71" s="6"/>
      <c r="P71" s="264"/>
      <c r="Q71" s="228">
        <f>(Q70-P70)*7.48/(Q$7-P$7)/$N70</f>
        <v>0.31343339109662133</v>
      </c>
      <c r="R71" s="261"/>
      <c r="S71" s="228">
        <f>(S70-Q70)*7.48/(S$7-Q$7)/N70</f>
        <v>0.33681715843109378</v>
      </c>
      <c r="T71" s="261"/>
      <c r="U71" s="228">
        <f>(U70-S70)*7.48/(U7-S7)/N70</f>
        <v>0.31059564719358534</v>
      </c>
      <c r="V71" s="228">
        <f>(V70-U70)*7.48/(V7-U7)/N70</f>
        <v>0.29376534118802161</v>
      </c>
      <c r="W71" s="228">
        <f>(W70-V70)*7.48/(W7-V7)/$N70</f>
        <v>0.29417334860633826</v>
      </c>
      <c r="X71" s="228">
        <f>(X70-W70)*7.48/(X7-W7)/$N70</f>
        <v>0.30021755152419261</v>
      </c>
      <c r="Y71" s="172"/>
      <c r="Z71" s="231" t="s">
        <v>416</v>
      </c>
      <c r="AA71" s="6"/>
      <c r="AB71" s="6"/>
      <c r="AC71" s="6"/>
    </row>
    <row r="72" spans="1:29" ht="19.149999999999999" customHeight="1" x14ac:dyDescent="0.25">
      <c r="A72" s="6"/>
      <c r="B72" s="6">
        <f t="shared" si="5"/>
        <v>0</v>
      </c>
      <c r="C72" s="6"/>
      <c r="D72" s="77"/>
      <c r="E72" s="82"/>
      <c r="F72" s="238"/>
      <c r="G72" s="6"/>
      <c r="H72" s="6"/>
      <c r="I72" s="6"/>
      <c r="J72" s="6"/>
      <c r="K72" s="6"/>
      <c r="L72" s="6"/>
      <c r="M72" s="6"/>
      <c r="N72" s="6"/>
      <c r="O72" s="6"/>
      <c r="P72" s="233"/>
      <c r="Q72" s="258"/>
      <c r="R72" s="233"/>
      <c r="S72" s="258"/>
      <c r="T72" s="233"/>
      <c r="U72" s="258"/>
      <c r="V72" s="258"/>
      <c r="W72" s="258"/>
      <c r="X72" s="258"/>
      <c r="Y72" s="6"/>
      <c r="Z72" s="6"/>
      <c r="AA72" s="6"/>
      <c r="AB72" s="6"/>
      <c r="AC72" s="6"/>
    </row>
    <row r="73" spans="1:29" ht="16.149999999999999" customHeight="1" x14ac:dyDescent="0.25">
      <c r="A73" s="2"/>
      <c r="B73" s="33">
        <f t="shared" si="5"/>
        <v>27999.75</v>
      </c>
      <c r="C73" s="2"/>
      <c r="D73" s="290" t="s">
        <v>417</v>
      </c>
      <c r="E73" s="82">
        <f>N73</f>
        <v>27999.75</v>
      </c>
      <c r="F73" s="6"/>
      <c r="G73" s="6"/>
      <c r="H73" s="2"/>
      <c r="I73" s="6"/>
      <c r="J73" s="6"/>
      <c r="K73" s="6"/>
      <c r="L73" s="6"/>
      <c r="M73" s="6"/>
      <c r="N73" s="53">
        <f>N15+N64+N58+N56+N45+N38+N32+N23+N70</f>
        <v>27999.75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2"/>
      <c r="Z73" s="6"/>
      <c r="AA73" s="6"/>
      <c r="AB73" s="6"/>
      <c r="AC73" s="6"/>
    </row>
    <row r="74" spans="1:29" ht="16.149999999999999" customHeight="1" x14ac:dyDescent="0.25">
      <c r="A74" s="2"/>
      <c r="B74" s="33">
        <f t="shared" si="5"/>
        <v>17000</v>
      </c>
      <c r="C74" s="2"/>
      <c r="D74" s="290" t="s">
        <v>418</v>
      </c>
      <c r="E74" s="44">
        <v>17000</v>
      </c>
      <c r="F74" s="6"/>
      <c r="G74" s="6"/>
      <c r="H74" s="6"/>
      <c r="I74" s="6"/>
      <c r="J74" s="6"/>
      <c r="K74" s="6"/>
      <c r="L74" s="6"/>
      <c r="M74" s="6"/>
      <c r="N74" s="44">
        <v>17000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2"/>
      <c r="Z74" s="6"/>
      <c r="AA74" s="6"/>
      <c r="AB74" s="6"/>
      <c r="AC74" s="6"/>
    </row>
    <row r="75" spans="1:29" ht="16.149999999999999" customHeight="1" x14ac:dyDescent="0.25">
      <c r="A75" s="2"/>
      <c r="B75" s="33">
        <f t="shared" si="5"/>
        <v>44999.75</v>
      </c>
      <c r="C75" s="2"/>
      <c r="D75" s="290" t="s">
        <v>419</v>
      </c>
      <c r="E75" s="53">
        <f>E73+E74</f>
        <v>44999.75</v>
      </c>
      <c r="F75" s="6"/>
      <c r="G75" s="6"/>
      <c r="H75" s="6"/>
      <c r="I75" s="6"/>
      <c r="J75" s="6"/>
      <c r="K75" s="6"/>
      <c r="L75" s="6"/>
      <c r="M75" s="6"/>
      <c r="N75" s="53">
        <f>N73+N74</f>
        <v>44999.75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2"/>
      <c r="Z75" s="6"/>
      <c r="AA75" s="6"/>
      <c r="AB75" s="6"/>
      <c r="AC75" s="6"/>
    </row>
    <row r="76" spans="1:29" ht="16.149999999999999" customHeight="1" x14ac:dyDescent="0.25">
      <c r="A76" s="2"/>
      <c r="B76" s="6">
        <f t="shared" si="5"/>
        <v>0</v>
      </c>
      <c r="C76" s="2"/>
      <c r="D76" s="6"/>
      <c r="E76" s="27"/>
      <c r="F76" s="37" t="s">
        <v>420</v>
      </c>
      <c r="G76" s="6"/>
      <c r="H76" s="6"/>
      <c r="I76" s="6"/>
      <c r="J76" s="6"/>
      <c r="K76" s="6"/>
      <c r="L76" s="6"/>
      <c r="M76" s="6"/>
      <c r="N76" s="27"/>
      <c r="O76" s="6"/>
      <c r="P76" s="6"/>
      <c r="Q76" s="6"/>
      <c r="R76" s="6"/>
      <c r="S76" s="6"/>
      <c r="T76" s="6"/>
      <c r="U76" s="6"/>
      <c r="V76" s="6"/>
      <c r="W76" s="6"/>
      <c r="X76" s="6"/>
      <c r="Y76" s="2"/>
      <c r="Z76" s="6"/>
      <c r="AA76" s="6"/>
      <c r="AB76" s="6"/>
      <c r="AC76" s="6"/>
    </row>
    <row r="77" spans="1:29" ht="13.9" customHeight="1" x14ac:dyDescent="0.25">
      <c r="A77" s="2"/>
      <c r="B77" s="2"/>
      <c r="C77" s="2"/>
      <c r="D77" s="6"/>
      <c r="E77" s="2"/>
      <c r="F77" s="2"/>
      <c r="G77" s="6"/>
      <c r="H77" s="2"/>
      <c r="I77" s="6"/>
      <c r="J77" s="2"/>
      <c r="K77" s="2"/>
      <c r="L77" s="2"/>
      <c r="M77" s="2"/>
      <c r="N77" s="2"/>
      <c r="O77" s="6"/>
      <c r="P77" s="6"/>
      <c r="Q77" s="6"/>
      <c r="R77" s="6"/>
      <c r="S77" s="6"/>
      <c r="T77" s="6"/>
      <c r="U77" s="6"/>
      <c r="V77" s="6"/>
      <c r="W77" s="6"/>
      <c r="X77" s="6"/>
      <c r="Y77" s="2"/>
      <c r="Z77" s="6"/>
      <c r="AA77" s="6"/>
      <c r="AB77" s="6"/>
      <c r="AC77" s="6"/>
    </row>
    <row r="78" spans="1:29" ht="13.9" customHeight="1" x14ac:dyDescent="0.25">
      <c r="A78" s="2"/>
      <c r="B78" s="2"/>
      <c r="C78" s="2"/>
      <c r="D78" s="2"/>
      <c r="E78" s="2"/>
      <c r="F78" s="2"/>
      <c r="G78" s="6"/>
      <c r="H78" s="2"/>
      <c r="I78" s="6"/>
      <c r="J78" s="2"/>
      <c r="K78" s="2"/>
      <c r="L78" s="2"/>
      <c r="M78" s="2"/>
      <c r="N78" s="2"/>
      <c r="O78" s="6"/>
      <c r="P78" s="6"/>
      <c r="Q78" s="6"/>
      <c r="R78" s="6"/>
      <c r="S78" s="6"/>
      <c r="T78" s="6"/>
      <c r="U78" s="6"/>
      <c r="V78" s="6"/>
      <c r="W78" s="6"/>
      <c r="X78" s="6"/>
      <c r="Y78" s="2"/>
      <c r="Z78" s="6"/>
      <c r="AA78" s="6"/>
      <c r="AB78" s="6"/>
      <c r="AC78" s="6"/>
    </row>
    <row r="79" spans="1:29" ht="13.9" customHeight="1" x14ac:dyDescent="0.25">
      <c r="A79" s="2"/>
      <c r="B79" s="2"/>
      <c r="C79" s="2"/>
      <c r="D79" s="2"/>
      <c r="E79" s="2"/>
      <c r="F79" s="2"/>
      <c r="G79" s="6"/>
      <c r="H79" s="2"/>
      <c r="I79" s="6"/>
      <c r="J79" s="2"/>
      <c r="K79" s="2"/>
      <c r="L79" s="2"/>
      <c r="M79" s="2"/>
      <c r="N79" s="2"/>
      <c r="O79" s="6"/>
      <c r="P79" s="6"/>
      <c r="Q79" s="6"/>
      <c r="R79" s="6"/>
      <c r="S79" s="6"/>
      <c r="T79" s="6"/>
      <c r="U79" s="6"/>
      <c r="V79" s="6"/>
      <c r="W79" s="6"/>
      <c r="X79" s="6"/>
      <c r="Y79" s="2"/>
      <c r="Z79" s="6"/>
      <c r="AA79" s="6"/>
      <c r="AB79" s="6"/>
      <c r="AC79" s="6"/>
    </row>
    <row r="80" spans="1:29" ht="13.9" customHeight="1" x14ac:dyDescent="0.25">
      <c r="A80" s="2"/>
      <c r="B80" s="2"/>
      <c r="C80" s="2"/>
      <c r="D80" s="2"/>
      <c r="E80" s="2"/>
      <c r="F80" s="2"/>
      <c r="G80" s="6"/>
      <c r="H80" s="2"/>
      <c r="I80" s="6"/>
      <c r="J80" s="2"/>
      <c r="K80" s="2"/>
      <c r="L80" s="2"/>
      <c r="M80" s="2"/>
      <c r="N80" s="2"/>
      <c r="O80" s="6"/>
      <c r="P80" s="6"/>
      <c r="Q80" s="6"/>
      <c r="R80" s="6"/>
      <c r="S80" s="6"/>
      <c r="T80" s="6"/>
      <c r="U80" s="6"/>
      <c r="V80" s="6"/>
      <c r="W80" s="6"/>
      <c r="X80" s="6"/>
      <c r="Y80" s="2"/>
      <c r="Z80" s="6"/>
      <c r="AA80" s="6"/>
      <c r="AB80" s="6"/>
      <c r="AC80" s="6"/>
    </row>
    <row r="81" spans="1:29" ht="13.9" customHeight="1" x14ac:dyDescent="0.25">
      <c r="A81" s="2"/>
      <c r="B81" s="2"/>
      <c r="C81" s="2"/>
      <c r="D81" s="2"/>
      <c r="E81" s="2"/>
      <c r="F81" s="2"/>
      <c r="G81" s="6"/>
      <c r="H81" s="2"/>
      <c r="I81" s="6"/>
      <c r="J81" s="2"/>
      <c r="K81" s="2"/>
      <c r="L81" s="2"/>
      <c r="M81" s="2"/>
      <c r="N81" s="2"/>
      <c r="O81" s="6"/>
      <c r="P81" s="6"/>
      <c r="Q81" s="6"/>
      <c r="R81" s="6"/>
      <c r="S81" s="6"/>
      <c r="T81" s="6"/>
      <c r="U81" s="6"/>
      <c r="V81" s="6"/>
      <c r="W81" s="6"/>
      <c r="X81" s="6"/>
      <c r="Y81" s="2"/>
      <c r="Z81" s="6"/>
      <c r="AA81" s="6"/>
      <c r="AB81" s="6"/>
      <c r="AC81" s="6"/>
    </row>
    <row r="82" spans="1:29" ht="13.9" customHeight="1" x14ac:dyDescent="0.25">
      <c r="A82" s="2"/>
      <c r="B82" s="2"/>
      <c r="C82" s="2"/>
      <c r="D82" s="2"/>
      <c r="E82" s="2"/>
      <c r="F82" s="2"/>
      <c r="G82" s="6"/>
      <c r="H82" s="2"/>
      <c r="I82" s="6"/>
      <c r="J82" s="2"/>
      <c r="K82" s="2"/>
      <c r="L82" s="2"/>
      <c r="M82" s="2"/>
      <c r="N82" s="2"/>
      <c r="O82" s="6"/>
      <c r="P82" s="6"/>
      <c r="Q82" s="6"/>
      <c r="R82" s="6"/>
      <c r="S82" s="6"/>
      <c r="T82" s="6"/>
      <c r="U82" s="6"/>
      <c r="V82" s="6"/>
      <c r="W82" s="6"/>
      <c r="X82" s="6"/>
      <c r="Y82" s="2"/>
      <c r="Z82" s="6"/>
      <c r="AA82" s="6"/>
      <c r="AB82" s="6"/>
      <c r="AC82" s="6"/>
    </row>
    <row r="83" spans="1:29" ht="13.9" customHeight="1" x14ac:dyDescent="0.25">
      <c r="A83" s="2"/>
      <c r="B83" s="2"/>
      <c r="C83" s="2"/>
      <c r="D83" s="2"/>
      <c r="E83" s="2"/>
      <c r="F83" s="2"/>
      <c r="G83" s="6"/>
      <c r="H83" s="2"/>
      <c r="I83" s="6"/>
      <c r="J83" s="2"/>
      <c r="K83" s="2"/>
      <c r="L83" s="2"/>
      <c r="M83" s="2"/>
      <c r="N83" s="2"/>
      <c r="O83" s="6"/>
      <c r="P83" s="6"/>
      <c r="Q83" s="6"/>
      <c r="R83" s="6"/>
      <c r="S83" s="6"/>
      <c r="T83" s="6"/>
      <c r="U83" s="6"/>
      <c r="V83" s="6"/>
      <c r="W83" s="6"/>
      <c r="X83" s="6"/>
      <c r="Y83" s="2"/>
      <c r="Z83" s="6"/>
      <c r="AA83" s="6"/>
      <c r="AB83" s="6"/>
      <c r="AC83" s="6"/>
    </row>
    <row r="84" spans="1:29" ht="13.9" customHeight="1" x14ac:dyDescent="0.25">
      <c r="A84" s="2"/>
      <c r="B84" s="2"/>
      <c r="C84" s="2"/>
      <c r="D84" s="2"/>
      <c r="E84" s="2"/>
      <c r="F84" s="2"/>
      <c r="G84" s="6"/>
      <c r="H84" s="2"/>
      <c r="I84" s="6"/>
      <c r="J84" s="2"/>
      <c r="K84" s="2"/>
      <c r="L84" s="2"/>
      <c r="M84" s="2"/>
      <c r="N84" s="2"/>
      <c r="O84" s="6"/>
      <c r="P84" s="6"/>
      <c r="Q84" s="6"/>
      <c r="R84" s="6"/>
      <c r="S84" s="6"/>
      <c r="T84" s="6"/>
      <c r="U84" s="6"/>
      <c r="V84" s="6"/>
      <c r="W84" s="6"/>
      <c r="X84" s="6"/>
      <c r="Y84" s="2"/>
      <c r="Z84" s="6"/>
      <c r="AA84" s="6"/>
      <c r="AB84" s="6"/>
      <c r="AC84" s="6"/>
    </row>
    <row r="85" spans="1:29" ht="13.9" customHeight="1" x14ac:dyDescent="0.25">
      <c r="A85" s="2"/>
      <c r="B85" s="2"/>
      <c r="C85" s="2"/>
      <c r="D85" s="2"/>
      <c r="E85" s="2"/>
      <c r="F85" s="2"/>
      <c r="G85" s="6"/>
      <c r="H85" s="2"/>
      <c r="I85" s="6"/>
      <c r="J85" s="2"/>
      <c r="K85" s="2"/>
      <c r="L85" s="2"/>
      <c r="M85" s="2"/>
      <c r="N85" s="2"/>
      <c r="O85" s="6"/>
      <c r="P85" s="6"/>
      <c r="Q85" s="6"/>
      <c r="R85" s="6"/>
      <c r="S85" s="6"/>
      <c r="T85" s="6"/>
      <c r="U85" s="6"/>
      <c r="V85" s="6"/>
      <c r="W85" s="6"/>
      <c r="X85" s="6"/>
      <c r="Y85" s="2"/>
      <c r="Z85" s="6"/>
      <c r="AA85" s="6"/>
      <c r="AB85" s="6"/>
      <c r="AC85" s="6"/>
    </row>
  </sheetData>
  <mergeCells count="8">
    <mergeCell ref="F26:F27"/>
    <mergeCell ref="D26:D27"/>
    <mergeCell ref="F17:F18"/>
    <mergeCell ref="B26:B27"/>
    <mergeCell ref="B17:B18"/>
    <mergeCell ref="D17:D18"/>
    <mergeCell ref="C26:C27"/>
    <mergeCell ref="C17:C18"/>
  </mergeCells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4"/>
  <sheetViews>
    <sheetView showGridLines="0" workbookViewId="0"/>
  </sheetViews>
  <sheetFormatPr defaultColWidth="6.59765625" defaultRowHeight="13.9" customHeight="1" x14ac:dyDescent="0.2"/>
  <cols>
    <col min="1" max="1" width="6.59765625" style="291" customWidth="1"/>
    <col min="2" max="2" width="13.796875" style="291" customWidth="1"/>
    <col min="3" max="3" width="1.09765625" style="291" customWidth="1"/>
    <col min="4" max="4" width="6.09765625" style="291" customWidth="1"/>
    <col min="5" max="5" width="2.09765625" style="291" customWidth="1"/>
    <col min="6" max="6" width="16.59765625" style="291" customWidth="1"/>
    <col min="7" max="7" width="5.09765625" style="291" customWidth="1"/>
    <col min="8" max="8" width="6.59765625" style="291" customWidth="1"/>
    <col min="9" max="9" width="5.3984375" style="291" customWidth="1"/>
    <col min="10" max="10" width="3" style="291" customWidth="1"/>
    <col min="11" max="11" width="11.796875" style="291" customWidth="1"/>
    <col min="12" max="12" width="8.5" style="291" customWidth="1"/>
    <col min="13" max="13" width="8.796875" style="291" customWidth="1"/>
    <col min="14" max="14" width="8" style="291" customWidth="1"/>
    <col min="15" max="256" width="6.59765625" style="291" customWidth="1"/>
  </cols>
  <sheetData>
    <row r="1" spans="1:19" ht="19.899999999999999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16.899999999999999" customHeight="1" x14ac:dyDescent="0.3">
      <c r="A2" s="2"/>
      <c r="B2" s="292" t="s">
        <v>421</v>
      </c>
      <c r="C2" s="2"/>
      <c r="D2" s="2"/>
      <c r="E2" s="2"/>
      <c r="F2" s="2"/>
      <c r="G2" s="2"/>
      <c r="H2" s="2"/>
      <c r="I2" s="2"/>
      <c r="J2" s="2"/>
      <c r="K2" s="293"/>
      <c r="L2" s="2"/>
      <c r="M2" s="293"/>
      <c r="N2" s="293"/>
      <c r="O2" s="293"/>
      <c r="P2" s="293"/>
      <c r="Q2" s="293"/>
      <c r="R2" s="293"/>
      <c r="S2" s="293"/>
    </row>
    <row r="3" spans="1:19" ht="16.899999999999999" customHeight="1" x14ac:dyDescent="0.3">
      <c r="A3" s="2"/>
      <c r="B3" s="294"/>
      <c r="C3" s="2"/>
      <c r="D3" s="2"/>
      <c r="E3" s="2"/>
      <c r="F3" s="2"/>
      <c r="G3" s="2"/>
      <c r="H3" s="2"/>
      <c r="I3" s="2"/>
      <c r="J3" s="2"/>
      <c r="K3" s="8"/>
      <c r="L3" s="8"/>
      <c r="M3" s="8"/>
      <c r="N3" s="8"/>
      <c r="O3" s="293"/>
      <c r="P3" s="293"/>
      <c r="Q3" s="293"/>
      <c r="R3" s="293"/>
      <c r="S3" s="293"/>
    </row>
    <row r="4" spans="1:19" ht="18" customHeight="1" x14ac:dyDescent="0.3">
      <c r="A4" s="2"/>
      <c r="B4" s="295" t="s">
        <v>422</v>
      </c>
      <c r="C4" s="2"/>
      <c r="D4" s="2"/>
      <c r="E4" s="2"/>
      <c r="F4" s="2"/>
      <c r="G4" s="2"/>
      <c r="H4" s="2"/>
      <c r="I4" s="231" t="s">
        <v>423</v>
      </c>
      <c r="J4" s="2"/>
      <c r="K4" s="8"/>
      <c r="L4" s="8"/>
      <c r="M4" s="8"/>
      <c r="N4" s="8"/>
      <c r="O4" s="293"/>
      <c r="P4" s="293"/>
      <c r="Q4" s="293"/>
      <c r="R4" s="293"/>
      <c r="S4" s="293"/>
    </row>
    <row r="5" spans="1:19" ht="16.899999999999999" customHeight="1" x14ac:dyDescent="0.3">
      <c r="A5" s="2"/>
      <c r="B5" s="2"/>
      <c r="C5" s="2"/>
      <c r="D5" s="232" t="s">
        <v>424</v>
      </c>
      <c r="E5" s="2"/>
      <c r="F5" s="232" t="s">
        <v>425</v>
      </c>
      <c r="G5" s="232" t="s">
        <v>426</v>
      </c>
      <c r="H5" s="232" t="s">
        <v>427</v>
      </c>
      <c r="I5" s="232" t="s">
        <v>426</v>
      </c>
      <c r="J5" s="2"/>
      <c r="K5" s="296" t="s">
        <v>428</v>
      </c>
      <c r="L5" s="2"/>
      <c r="M5" s="293"/>
      <c r="N5" s="293"/>
      <c r="O5" s="293"/>
      <c r="P5" s="293"/>
      <c r="Q5" s="293"/>
      <c r="R5" s="293"/>
      <c r="S5" s="293"/>
    </row>
    <row r="6" spans="1:19" ht="15" customHeight="1" x14ac:dyDescent="0.25">
      <c r="A6" s="2"/>
      <c r="B6" s="37" t="s">
        <v>429</v>
      </c>
      <c r="C6" s="6"/>
      <c r="D6" s="39"/>
      <c r="E6" s="30"/>
      <c r="F6" s="46"/>
      <c r="G6" s="30"/>
      <c r="H6" s="30"/>
      <c r="I6" s="103"/>
      <c r="J6" s="103"/>
      <c r="K6" s="8"/>
      <c r="L6" s="2"/>
      <c r="M6" s="293"/>
      <c r="N6" s="293"/>
      <c r="O6" s="293"/>
      <c r="P6" s="293"/>
      <c r="Q6" s="293"/>
      <c r="R6" s="293"/>
      <c r="S6" s="293"/>
    </row>
    <row r="7" spans="1:19" ht="15" customHeight="1" x14ac:dyDescent="0.25">
      <c r="A7" s="2"/>
      <c r="B7" s="37" t="s">
        <v>430</v>
      </c>
      <c r="C7" s="6"/>
      <c r="D7" s="39">
        <v>1511</v>
      </c>
      <c r="E7" s="30"/>
      <c r="F7" s="36" t="s">
        <v>122</v>
      </c>
      <c r="G7" s="35">
        <v>110</v>
      </c>
      <c r="H7" s="35">
        <v>1</v>
      </c>
      <c r="I7" s="37">
        <f t="shared" ref="I7:I18" si="0">G7*H7</f>
        <v>110</v>
      </c>
      <c r="J7" s="33"/>
      <c r="K7" s="2"/>
      <c r="L7" s="297" t="s">
        <v>431</v>
      </c>
      <c r="M7" s="298" t="s">
        <v>432</v>
      </c>
      <c r="N7" s="298" t="s">
        <v>433</v>
      </c>
      <c r="O7" s="293"/>
      <c r="P7" s="293"/>
      <c r="Q7" s="293"/>
      <c r="R7" s="293"/>
      <c r="S7" s="293"/>
    </row>
    <row r="8" spans="1:19" ht="15" customHeight="1" x14ac:dyDescent="0.25">
      <c r="A8" s="2"/>
      <c r="B8" s="37" t="s">
        <v>434</v>
      </c>
      <c r="C8" s="6"/>
      <c r="D8" s="39">
        <v>1020</v>
      </c>
      <c r="E8" s="30"/>
      <c r="F8" s="36" t="s">
        <v>122</v>
      </c>
      <c r="G8" s="35">
        <v>110</v>
      </c>
      <c r="H8" s="35">
        <v>1</v>
      </c>
      <c r="I8" s="37">
        <f t="shared" si="0"/>
        <v>110</v>
      </c>
      <c r="J8" s="33"/>
      <c r="K8" s="37" t="s">
        <v>435</v>
      </c>
      <c r="L8" s="39">
        <v>16977</v>
      </c>
      <c r="M8" s="299">
        <v>16977</v>
      </c>
      <c r="N8" s="299">
        <f>L8-M8</f>
        <v>0</v>
      </c>
      <c r="O8" s="293"/>
      <c r="P8" s="293"/>
      <c r="Q8" s="293"/>
      <c r="R8" s="293"/>
      <c r="S8" s="293"/>
    </row>
    <row r="9" spans="1:19" ht="15" customHeight="1" x14ac:dyDescent="0.25">
      <c r="A9" s="2"/>
      <c r="B9" s="37" t="s">
        <v>436</v>
      </c>
      <c r="C9" s="6"/>
      <c r="D9" s="39">
        <v>984</v>
      </c>
      <c r="E9" s="30"/>
      <c r="F9" s="36" t="s">
        <v>122</v>
      </c>
      <c r="G9" s="35">
        <v>110</v>
      </c>
      <c r="H9" s="35">
        <v>1</v>
      </c>
      <c r="I9" s="37">
        <f t="shared" si="0"/>
        <v>110</v>
      </c>
      <c r="J9" s="33"/>
      <c r="K9" s="37" t="s">
        <v>437</v>
      </c>
      <c r="L9" s="39">
        <v>1563</v>
      </c>
      <c r="M9" s="299">
        <v>796</v>
      </c>
      <c r="N9" s="299">
        <f>L9-M9</f>
        <v>767</v>
      </c>
      <c r="O9" s="293"/>
      <c r="P9" s="293"/>
      <c r="Q9" s="293"/>
      <c r="R9" s="293"/>
      <c r="S9" s="293"/>
    </row>
    <row r="10" spans="1:19" ht="15" customHeight="1" x14ac:dyDescent="0.25">
      <c r="A10" s="2"/>
      <c r="B10" s="37" t="s">
        <v>438</v>
      </c>
      <c r="C10" s="6"/>
      <c r="D10" s="39">
        <v>987</v>
      </c>
      <c r="E10" s="30"/>
      <c r="F10" s="36" t="s">
        <v>122</v>
      </c>
      <c r="G10" s="35">
        <v>110</v>
      </c>
      <c r="H10" s="35">
        <v>1</v>
      </c>
      <c r="I10" s="37">
        <f t="shared" si="0"/>
        <v>110</v>
      </c>
      <c r="J10" s="33"/>
      <c r="K10" s="6"/>
      <c r="L10" s="39">
        <f>L8+L9</f>
        <v>18540</v>
      </c>
      <c r="M10" s="39">
        <f>M8+M9</f>
        <v>17773</v>
      </c>
      <c r="N10" s="299">
        <f>L10-M10</f>
        <v>767</v>
      </c>
      <c r="O10" s="293"/>
      <c r="P10" s="293"/>
      <c r="Q10" s="293"/>
      <c r="R10" s="293"/>
      <c r="S10" s="293"/>
    </row>
    <row r="11" spans="1:19" ht="15" customHeight="1" x14ac:dyDescent="0.25">
      <c r="A11" s="2"/>
      <c r="B11" s="37" t="s">
        <v>439</v>
      </c>
      <c r="C11" s="6"/>
      <c r="D11" s="39">
        <v>894</v>
      </c>
      <c r="E11" s="30"/>
      <c r="F11" s="36" t="s">
        <v>122</v>
      </c>
      <c r="G11" s="35">
        <v>110</v>
      </c>
      <c r="H11" s="35">
        <v>1</v>
      </c>
      <c r="I11" s="37">
        <f t="shared" si="0"/>
        <v>110</v>
      </c>
      <c r="J11" s="33"/>
      <c r="K11" s="6"/>
      <c r="L11" s="39"/>
      <c r="M11" s="299"/>
      <c r="N11" s="299"/>
      <c r="O11" s="293"/>
      <c r="P11" s="293"/>
      <c r="Q11" s="293"/>
      <c r="R11" s="293"/>
      <c r="S11" s="293"/>
    </row>
    <row r="12" spans="1:19" ht="15" customHeight="1" x14ac:dyDescent="0.25">
      <c r="A12" s="2"/>
      <c r="B12" s="37" t="s">
        <v>440</v>
      </c>
      <c r="C12" s="6"/>
      <c r="D12" s="39">
        <v>1078</v>
      </c>
      <c r="E12" s="30"/>
      <c r="F12" s="36" t="s">
        <v>122</v>
      </c>
      <c r="G12" s="35">
        <v>110</v>
      </c>
      <c r="H12" s="35">
        <v>1</v>
      </c>
      <c r="I12" s="37">
        <f t="shared" si="0"/>
        <v>110</v>
      </c>
      <c r="J12" s="33"/>
      <c r="K12" s="37" t="s">
        <v>441</v>
      </c>
      <c r="L12" s="39">
        <v>13023</v>
      </c>
      <c r="M12" s="299">
        <v>13200</v>
      </c>
      <c r="N12" s="299">
        <f>L12-M12</f>
        <v>-177</v>
      </c>
      <c r="O12" s="293"/>
      <c r="P12" s="293"/>
      <c r="Q12" s="293"/>
      <c r="R12" s="293"/>
      <c r="S12" s="293"/>
    </row>
    <row r="13" spans="1:19" ht="15" customHeight="1" x14ac:dyDescent="0.25">
      <c r="A13" s="2"/>
      <c r="B13" s="37" t="s">
        <v>442</v>
      </c>
      <c r="C13" s="6"/>
      <c r="D13" s="39">
        <v>1036</v>
      </c>
      <c r="E13" s="30"/>
      <c r="F13" s="36" t="s">
        <v>122</v>
      </c>
      <c r="G13" s="35">
        <v>110</v>
      </c>
      <c r="H13" s="35">
        <v>1</v>
      </c>
      <c r="I13" s="37">
        <f t="shared" si="0"/>
        <v>110</v>
      </c>
      <c r="J13" s="33"/>
      <c r="K13" s="37" t="s">
        <v>443</v>
      </c>
      <c r="L13" s="39">
        <v>3442</v>
      </c>
      <c r="M13" s="299">
        <v>0</v>
      </c>
      <c r="N13" s="299">
        <f>L13-M13</f>
        <v>3442</v>
      </c>
      <c r="O13" s="293"/>
      <c r="P13" s="293"/>
      <c r="Q13" s="293"/>
      <c r="R13" s="293"/>
      <c r="S13" s="293"/>
    </row>
    <row r="14" spans="1:19" ht="15" customHeight="1" x14ac:dyDescent="0.25">
      <c r="A14" s="2"/>
      <c r="B14" s="37" t="s">
        <v>444</v>
      </c>
      <c r="C14" s="6"/>
      <c r="D14" s="39">
        <v>1036</v>
      </c>
      <c r="E14" s="30"/>
      <c r="F14" s="36" t="s">
        <v>122</v>
      </c>
      <c r="G14" s="35">
        <v>110</v>
      </c>
      <c r="H14" s="35">
        <v>1</v>
      </c>
      <c r="I14" s="37">
        <f t="shared" si="0"/>
        <v>110</v>
      </c>
      <c r="J14" s="33"/>
      <c r="K14" s="6"/>
      <c r="L14" s="39">
        <f>L12+L13</f>
        <v>16465</v>
      </c>
      <c r="M14" s="39">
        <f>M12+M13</f>
        <v>13200</v>
      </c>
      <c r="N14" s="299">
        <f>L14-M14</f>
        <v>3265</v>
      </c>
      <c r="O14" s="293"/>
      <c r="P14" s="293"/>
      <c r="Q14" s="293"/>
      <c r="R14" s="293"/>
      <c r="S14" s="293"/>
    </row>
    <row r="15" spans="1:19" ht="15" customHeight="1" x14ac:dyDescent="0.25">
      <c r="A15" s="2"/>
      <c r="B15" s="37" t="s">
        <v>445</v>
      </c>
      <c r="C15" s="6"/>
      <c r="D15" s="39">
        <v>1010</v>
      </c>
      <c r="E15" s="30"/>
      <c r="F15" s="36" t="s">
        <v>122</v>
      </c>
      <c r="G15" s="35">
        <v>110</v>
      </c>
      <c r="H15" s="35">
        <v>1</v>
      </c>
      <c r="I15" s="37">
        <f t="shared" si="0"/>
        <v>110</v>
      </c>
      <c r="J15" s="33"/>
      <c r="K15" s="6"/>
      <c r="L15" s="39"/>
      <c r="M15" s="299"/>
      <c r="N15" s="299"/>
      <c r="O15" s="293"/>
      <c r="P15" s="293"/>
      <c r="Q15" s="293"/>
      <c r="R15" s="293"/>
      <c r="S15" s="293"/>
    </row>
    <row r="16" spans="1:19" ht="15" customHeight="1" x14ac:dyDescent="0.25">
      <c r="A16" s="2"/>
      <c r="B16" s="37" t="s">
        <v>446</v>
      </c>
      <c r="C16" s="6"/>
      <c r="D16" s="39">
        <v>1007</v>
      </c>
      <c r="E16" s="30"/>
      <c r="F16" s="36" t="s">
        <v>122</v>
      </c>
      <c r="G16" s="35">
        <v>110</v>
      </c>
      <c r="H16" s="35">
        <v>1</v>
      </c>
      <c r="I16" s="37">
        <f t="shared" si="0"/>
        <v>110</v>
      </c>
      <c r="J16" s="33"/>
      <c r="K16" s="37" t="s">
        <v>447</v>
      </c>
      <c r="L16" s="39">
        <f>L10+L14</f>
        <v>35005</v>
      </c>
      <c r="M16" s="39">
        <f>M10+M14</f>
        <v>30973</v>
      </c>
      <c r="N16" s="39">
        <f>N10+N14</f>
        <v>4032</v>
      </c>
      <c r="O16" s="293"/>
      <c r="P16" s="293"/>
      <c r="Q16" s="293"/>
      <c r="R16" s="293"/>
      <c r="S16" s="293"/>
    </row>
    <row r="17" spans="1:19" ht="15" customHeight="1" x14ac:dyDescent="0.25">
      <c r="A17" s="2"/>
      <c r="B17" s="37" t="s">
        <v>448</v>
      </c>
      <c r="C17" s="6"/>
      <c r="D17" s="39">
        <v>984</v>
      </c>
      <c r="E17" s="30"/>
      <c r="F17" s="36" t="s">
        <v>122</v>
      </c>
      <c r="G17" s="35">
        <v>110</v>
      </c>
      <c r="H17" s="35">
        <v>1</v>
      </c>
      <c r="I17" s="37">
        <f t="shared" si="0"/>
        <v>110</v>
      </c>
      <c r="J17" s="33"/>
      <c r="K17" s="6"/>
      <c r="L17" s="39"/>
      <c r="M17" s="299"/>
      <c r="N17" s="299"/>
      <c r="O17" s="293"/>
      <c r="P17" s="293"/>
      <c r="Q17" s="293"/>
      <c r="R17" s="293"/>
      <c r="S17" s="293"/>
    </row>
    <row r="18" spans="1:19" ht="15" customHeight="1" x14ac:dyDescent="0.25">
      <c r="A18" s="2"/>
      <c r="B18" s="37" t="s">
        <v>449</v>
      </c>
      <c r="C18" s="6"/>
      <c r="D18" s="39">
        <v>1476</v>
      </c>
      <c r="E18" s="30"/>
      <c r="F18" s="36" t="s">
        <v>122</v>
      </c>
      <c r="G18" s="35">
        <v>110</v>
      </c>
      <c r="H18" s="35">
        <v>1</v>
      </c>
      <c r="I18" s="37">
        <f t="shared" si="0"/>
        <v>110</v>
      </c>
      <c r="J18" s="33"/>
      <c r="K18" s="37" t="s">
        <v>450</v>
      </c>
      <c r="L18" s="39"/>
      <c r="M18" s="299"/>
      <c r="N18" s="299"/>
      <c r="O18" s="293"/>
      <c r="P18" s="293"/>
      <c r="Q18" s="293"/>
      <c r="R18" s="293"/>
      <c r="S18" s="293"/>
    </row>
    <row r="19" spans="1:19" ht="15" customHeight="1" x14ac:dyDescent="0.25">
      <c r="A19" s="2"/>
      <c r="B19" s="37" t="s">
        <v>451</v>
      </c>
      <c r="C19" s="6"/>
      <c r="D19" s="39">
        <f>SUM(D7:D18)</f>
        <v>13023</v>
      </c>
      <c r="E19" s="30"/>
      <c r="F19" s="46"/>
      <c r="G19" s="30"/>
      <c r="H19" s="30"/>
      <c r="I19" s="33">
        <f>SUM(I7:I18)</f>
        <v>1320</v>
      </c>
      <c r="J19" s="79"/>
      <c r="K19" s="37" t="s">
        <v>452</v>
      </c>
      <c r="L19" s="39"/>
      <c r="M19" s="299"/>
      <c r="N19" s="299"/>
      <c r="O19" s="293"/>
      <c r="P19" s="293"/>
      <c r="Q19" s="293"/>
      <c r="R19" s="293"/>
      <c r="S19" s="293"/>
    </row>
    <row r="20" spans="1:19" ht="15" customHeight="1" x14ac:dyDescent="0.25">
      <c r="A20" s="2"/>
      <c r="B20" s="37" t="s">
        <v>123</v>
      </c>
      <c r="C20" s="6"/>
      <c r="D20" s="39"/>
      <c r="E20" s="30"/>
      <c r="F20" s="2"/>
      <c r="G20" s="2"/>
      <c r="H20" s="30"/>
      <c r="I20" s="103"/>
      <c r="J20" s="103"/>
      <c r="K20" s="6"/>
      <c r="L20" s="39"/>
      <c r="M20" s="299"/>
      <c r="N20" s="299"/>
      <c r="O20" s="293"/>
      <c r="P20" s="293"/>
      <c r="Q20" s="293"/>
      <c r="R20" s="293"/>
      <c r="S20" s="293"/>
    </row>
    <row r="21" spans="1:19" ht="15" customHeight="1" x14ac:dyDescent="0.25">
      <c r="A21" s="2"/>
      <c r="B21" s="37" t="s">
        <v>453</v>
      </c>
      <c r="C21" s="6"/>
      <c r="D21" s="39"/>
      <c r="E21" s="30"/>
      <c r="F21" s="46"/>
      <c r="G21" s="30"/>
      <c r="H21" s="30"/>
      <c r="I21" s="103"/>
      <c r="J21" s="103"/>
      <c r="K21" s="6"/>
      <c r="L21" s="39"/>
      <c r="M21" s="299"/>
      <c r="N21" s="299"/>
      <c r="O21" s="293"/>
      <c r="P21" s="293"/>
      <c r="Q21" s="293"/>
      <c r="R21" s="293"/>
      <c r="S21" s="293"/>
    </row>
    <row r="22" spans="1:19" ht="15" customHeight="1" x14ac:dyDescent="0.25">
      <c r="A22" s="2"/>
      <c r="B22" s="300"/>
      <c r="C22" s="6"/>
      <c r="D22" s="51"/>
      <c r="E22" s="49"/>
      <c r="F22" s="2"/>
      <c r="G22" s="2"/>
      <c r="H22" s="2"/>
      <c r="I22" s="2"/>
      <c r="J22" s="2"/>
      <c r="K22" s="6"/>
      <c r="L22" s="39"/>
      <c r="M22" s="299"/>
      <c r="N22" s="299"/>
      <c r="O22" s="293"/>
      <c r="P22" s="293"/>
      <c r="Q22" s="293"/>
      <c r="R22" s="293"/>
      <c r="S22" s="293"/>
    </row>
    <row r="23" spans="1:19" ht="15" customHeight="1" x14ac:dyDescent="0.25">
      <c r="A23" s="2"/>
      <c r="B23" s="67" t="s">
        <v>454</v>
      </c>
      <c r="C23" s="49"/>
      <c r="D23" s="8"/>
      <c r="E23" s="33"/>
      <c r="F23" s="301"/>
      <c r="G23" s="47"/>
      <c r="H23" s="2"/>
      <c r="I23" s="2"/>
      <c r="J23" s="2"/>
      <c r="K23" s="2"/>
      <c r="L23" s="71"/>
      <c r="M23" s="299"/>
      <c r="N23" s="299"/>
      <c r="O23" s="293"/>
      <c r="P23" s="293"/>
      <c r="Q23" s="293"/>
      <c r="R23" s="293"/>
      <c r="S23" s="293"/>
    </row>
    <row r="24" spans="1:19" ht="13.9" customHeight="1" x14ac:dyDescent="0.25">
      <c r="A24" s="8"/>
      <c r="B24" s="302" t="s">
        <v>455</v>
      </c>
      <c r="C24" s="8"/>
      <c r="D24" s="51">
        <v>13200</v>
      </c>
      <c r="E24" s="8"/>
      <c r="F24" s="8"/>
      <c r="G24" s="8"/>
      <c r="H24" s="8"/>
      <c r="I24" s="8"/>
      <c r="J24" s="8"/>
      <c r="K24" s="293"/>
      <c r="L24" s="299"/>
      <c r="M24" s="299"/>
      <c r="N24" s="299"/>
      <c r="O24" s="293"/>
      <c r="P24" s="293"/>
      <c r="Q24" s="293"/>
      <c r="R24" s="293"/>
      <c r="S24" s="293"/>
    </row>
    <row r="25" spans="1:19" ht="13.9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293"/>
      <c r="L25" s="299"/>
      <c r="M25" s="299"/>
      <c r="N25" s="299"/>
      <c r="O25" s="293"/>
      <c r="P25" s="293"/>
      <c r="Q25" s="293"/>
      <c r="R25" s="293"/>
      <c r="S25" s="293"/>
    </row>
    <row r="26" spans="1:19" ht="13.9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293"/>
      <c r="L26" s="299"/>
      <c r="M26" s="299"/>
      <c r="N26" s="299"/>
      <c r="O26" s="293"/>
      <c r="P26" s="293"/>
      <c r="Q26" s="293"/>
      <c r="R26" s="293"/>
      <c r="S26" s="293"/>
    </row>
    <row r="27" spans="1:19" ht="13.9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293"/>
      <c r="L27" s="299"/>
      <c r="M27" s="299"/>
      <c r="N27" s="299"/>
      <c r="O27" s="293"/>
      <c r="P27" s="293"/>
      <c r="Q27" s="293"/>
      <c r="R27" s="293"/>
      <c r="S27" s="293"/>
    </row>
    <row r="28" spans="1:19" ht="13.9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293"/>
      <c r="L28" s="299"/>
      <c r="M28" s="299"/>
      <c r="N28" s="299"/>
      <c r="O28" s="293"/>
      <c r="P28" s="293"/>
      <c r="Q28" s="293"/>
      <c r="R28" s="293"/>
      <c r="S28" s="293"/>
    </row>
    <row r="29" spans="1:19" ht="13.9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293"/>
      <c r="L29" s="299"/>
      <c r="M29" s="299"/>
      <c r="N29" s="299"/>
      <c r="O29" s="293"/>
      <c r="P29" s="293"/>
      <c r="Q29" s="293"/>
      <c r="R29" s="293"/>
      <c r="S29" s="293"/>
    </row>
    <row r="30" spans="1:19" ht="13.9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293"/>
      <c r="L30" s="299"/>
      <c r="M30" s="299"/>
      <c r="N30" s="299"/>
      <c r="O30" s="293"/>
      <c r="P30" s="293"/>
      <c r="Q30" s="293"/>
      <c r="R30" s="293"/>
      <c r="S30" s="293"/>
    </row>
    <row r="31" spans="1:19" ht="13.9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293"/>
      <c r="L31" s="299"/>
      <c r="M31" s="299"/>
      <c r="N31" s="299"/>
      <c r="O31" s="293"/>
      <c r="P31" s="293"/>
      <c r="Q31" s="293"/>
      <c r="R31" s="293"/>
      <c r="S31" s="293"/>
    </row>
    <row r="32" spans="1:19" ht="13.9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293"/>
      <c r="L32" s="293"/>
      <c r="M32" s="293"/>
      <c r="N32" s="293"/>
      <c r="O32" s="293"/>
      <c r="P32" s="293"/>
      <c r="Q32" s="293"/>
      <c r="R32" s="293"/>
      <c r="S32" s="293"/>
    </row>
    <row r="33" spans="1:19" ht="13.9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293"/>
      <c r="L33" s="293"/>
      <c r="M33" s="293"/>
      <c r="N33" s="293"/>
      <c r="O33" s="293"/>
      <c r="P33" s="293"/>
      <c r="Q33" s="293"/>
      <c r="R33" s="293"/>
      <c r="S33" s="293"/>
    </row>
    <row r="34" spans="1:19" ht="13.9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293"/>
      <c r="L34" s="293"/>
      <c r="M34" s="293"/>
      <c r="N34" s="293"/>
      <c r="O34" s="293"/>
      <c r="P34" s="293"/>
      <c r="Q34" s="293"/>
      <c r="R34" s="293"/>
      <c r="S34" s="293"/>
    </row>
  </sheetData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WWMDC Assessment 2016</vt:lpstr>
      <vt:lpstr>SummaryByBuilding</vt:lpstr>
      <vt:lpstr>20W=KGI Summary 2013 - Table 1-</vt:lpstr>
      <vt:lpstr>Apartments</vt:lpstr>
      <vt:lpstr>'WWMDC Assessment 2016'!Print_Area</vt:lpstr>
      <vt:lpstr>'WWMDC Assessment 2016'!Print_Titles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Capasso, Jane</dc:creator>
  <cp:lastModifiedBy>Capasso, Jane</cp:lastModifiedBy>
  <cp:lastPrinted>2016-02-29T14:36:11Z</cp:lastPrinted>
  <dcterms:created xsi:type="dcterms:W3CDTF">2016-02-26T03:52:52Z</dcterms:created>
  <dcterms:modified xsi:type="dcterms:W3CDTF">2016-02-29T15:43:58Z</dcterms:modified>
</cp:coreProperties>
</file>