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Finance Committee FY17\"/>
    </mc:Choice>
  </mc:AlternateContent>
  <bookViews>
    <workbookView xWindow="0" yWindow="0" windowWidth="28800" windowHeight="12045" tabRatio="560"/>
  </bookViews>
  <sheets>
    <sheet name="OPERBUD3" sheetId="2" r:id="rId1"/>
    <sheet name="Sources" sheetId="5" r:id="rId2"/>
    <sheet name="Uses" sheetId="6" r:id="rId3"/>
    <sheet name="Budget Comparison" sheetId="4" r:id="rId4"/>
  </sheets>
  <definedNames>
    <definedName name="_xlnm.Print_Area" localSheetId="3">'Budget Comparison'!$A$1:$N$43</definedName>
    <definedName name="_xlnm.Print_Area" localSheetId="0">OPERBUD3!$A$1:$L$178</definedName>
    <definedName name="_xlnm.Print_Area" localSheetId="2">Uses!$A$1:$L$85</definedName>
    <definedName name="_xlnm.Print_Titles" localSheetId="0">OPERBUD3!$1:$2</definedName>
  </definedNames>
  <calcPr calcId="162913"/>
</workbook>
</file>

<file path=xl/calcChain.xml><?xml version="1.0" encoding="utf-8"?>
<calcChain xmlns="http://schemas.openxmlformats.org/spreadsheetml/2006/main">
  <c r="I76" i="2" l="1"/>
  <c r="F16" i="6"/>
  <c r="J72" i="2"/>
  <c r="L72" i="2" s="1"/>
  <c r="J11" i="4"/>
  <c r="AE9" i="4"/>
  <c r="C24" i="6"/>
  <c r="L76" i="2"/>
  <c r="L119" i="2"/>
  <c r="L118" i="2"/>
  <c r="I78" i="2"/>
  <c r="I73" i="2"/>
  <c r="I171" i="2"/>
  <c r="I172" i="2" s="1"/>
  <c r="I165" i="2"/>
  <c r="I166" i="2" s="1"/>
  <c r="I162" i="2"/>
  <c r="I159" i="2"/>
  <c r="I155" i="2"/>
  <c r="I151" i="2"/>
  <c r="I148" i="2"/>
  <c r="I143" i="2"/>
  <c r="I142" i="2"/>
  <c r="I138" i="2"/>
  <c r="I134" i="2"/>
  <c r="I127" i="2"/>
  <c r="I123" i="2"/>
  <c r="I120" i="2"/>
  <c r="I116" i="2"/>
  <c r="I109" i="2"/>
  <c r="I110" i="2" s="1"/>
  <c r="I104" i="2"/>
  <c r="I105" i="2" s="1"/>
  <c r="I98" i="2"/>
  <c r="I94" i="2"/>
  <c r="I90" i="2"/>
  <c r="I86" i="2"/>
  <c r="I82" i="2"/>
  <c r="I74" i="2"/>
  <c r="I67" i="2"/>
  <c r="I64" i="2"/>
  <c r="I60" i="2"/>
  <c r="I57" i="2"/>
  <c r="I53" i="2"/>
  <c r="I49" i="2"/>
  <c r="I43" i="2"/>
  <c r="I45" i="2" s="1"/>
  <c r="I41" i="2"/>
  <c r="I39" i="2"/>
  <c r="I35" i="2"/>
  <c r="I37" i="2" s="1"/>
  <c r="I33" i="2"/>
  <c r="I29" i="2"/>
  <c r="I26" i="2"/>
  <c r="I22" i="2"/>
  <c r="I18" i="2"/>
  <c r="I14" i="2"/>
  <c r="I11" i="2"/>
  <c r="I7" i="2"/>
  <c r="L73" i="2"/>
  <c r="J73" i="2"/>
  <c r="L35" i="2"/>
  <c r="L39" i="2"/>
  <c r="L43" i="2"/>
  <c r="J43" i="2"/>
  <c r="J39" i="2"/>
  <c r="J35" i="2"/>
  <c r="K46" i="6"/>
  <c r="J18" i="5"/>
  <c r="K60" i="6"/>
  <c r="C59" i="6"/>
  <c r="G54" i="6"/>
  <c r="I54" i="6" s="1"/>
  <c r="C60" i="6"/>
  <c r="C58" i="6"/>
  <c r="G58" i="6" s="1"/>
  <c r="I58" i="6" s="1"/>
  <c r="C57" i="6"/>
  <c r="G57" i="6" s="1"/>
  <c r="I57" i="6" s="1"/>
  <c r="C56" i="6"/>
  <c r="G56" i="6" s="1"/>
  <c r="I56" i="6" s="1"/>
  <c r="C55" i="6"/>
  <c r="G55" i="6" s="1"/>
  <c r="I55" i="6" s="1"/>
  <c r="C54" i="6"/>
  <c r="C53" i="6"/>
  <c r="G53" i="6" s="1"/>
  <c r="G34" i="6"/>
  <c r="J34" i="6" s="1"/>
  <c r="I128" i="2" l="1"/>
  <c r="I99" i="2"/>
  <c r="I9" i="4" s="1"/>
  <c r="I68" i="2"/>
  <c r="I53" i="6"/>
  <c r="G59" i="6"/>
  <c r="J59" i="6" s="1"/>
  <c r="C61" i="6"/>
  <c r="L13" i="2"/>
  <c r="I19" i="4"/>
  <c r="I13" i="4"/>
  <c r="I12" i="4"/>
  <c r="J43" i="6"/>
  <c r="L14" i="4"/>
  <c r="G44" i="6"/>
  <c r="J44" i="6" s="1"/>
  <c r="J45" i="6"/>
  <c r="C21" i="6"/>
  <c r="I11" i="4" s="1"/>
  <c r="I10" i="4" s="1"/>
  <c r="I20" i="4" l="1"/>
  <c r="C17" i="6"/>
  <c r="I174" i="2"/>
  <c r="I41" i="4" s="1"/>
  <c r="G61" i="6"/>
  <c r="F21" i="6"/>
  <c r="G21" i="6" s="1"/>
  <c r="J21" i="6" s="1"/>
  <c r="I178" i="2" l="1"/>
  <c r="S11" i="4"/>
  <c r="R11" i="4"/>
  <c r="Q11" i="4"/>
  <c r="P11" i="4"/>
  <c r="O11" i="4"/>
  <c r="K32" i="4"/>
  <c r="K31" i="4"/>
  <c r="B104" i="2"/>
  <c r="C104" i="2"/>
  <c r="J104" i="2"/>
  <c r="H104" i="2"/>
  <c r="G104" i="2"/>
  <c r="F104" i="2"/>
  <c r="E104" i="2"/>
  <c r="D104" i="2"/>
  <c r="L14" i="2"/>
  <c r="E46" i="6"/>
  <c r="E38" i="6"/>
  <c r="E24" i="6"/>
  <c r="F38" i="6"/>
  <c r="F46" i="6"/>
  <c r="F47" i="6" s="1"/>
  <c r="G22" i="6"/>
  <c r="F20" i="6"/>
  <c r="G20" i="6" s="1"/>
  <c r="F19" i="6"/>
  <c r="G19" i="6" s="1"/>
  <c r="L120" i="2"/>
  <c r="K11" i="4" s="1"/>
  <c r="L11" i="4" s="1"/>
  <c r="L171" i="2"/>
  <c r="L172" i="2" s="1"/>
  <c r="L165" i="2"/>
  <c r="L162" i="2"/>
  <c r="L159" i="2"/>
  <c r="L155" i="2"/>
  <c r="L151" i="2"/>
  <c r="L148" i="2"/>
  <c r="L142" i="2"/>
  <c r="L138" i="2"/>
  <c r="L134" i="2"/>
  <c r="L127" i="2"/>
  <c r="L123" i="2"/>
  <c r="L116" i="2"/>
  <c r="L109" i="2"/>
  <c r="L110" i="2" s="1"/>
  <c r="L98" i="2"/>
  <c r="L94" i="2"/>
  <c r="L90" i="2"/>
  <c r="L86" i="2"/>
  <c r="L82" i="2"/>
  <c r="L67" i="2"/>
  <c r="L64" i="2"/>
  <c r="L60" i="2"/>
  <c r="L57" i="2"/>
  <c r="L53" i="2"/>
  <c r="L49" i="2"/>
  <c r="L45" i="2"/>
  <c r="L41" i="2"/>
  <c r="L37" i="2"/>
  <c r="L33" i="2"/>
  <c r="L29" i="2"/>
  <c r="L26" i="2"/>
  <c r="L22" i="2"/>
  <c r="L18" i="2"/>
  <c r="L11" i="2"/>
  <c r="L7" i="2"/>
  <c r="E47" i="6" l="1"/>
  <c r="F24" i="6"/>
  <c r="U11" i="4"/>
  <c r="M11" i="4"/>
  <c r="L143" i="2"/>
  <c r="K12" i="4" s="1"/>
  <c r="L128" i="2"/>
  <c r="K10" i="4" s="1"/>
  <c r="L68" i="2"/>
  <c r="K5" i="4" s="1"/>
  <c r="L166" i="2"/>
  <c r="K13" i="4" s="1"/>
  <c r="J20" i="6"/>
  <c r="L78" i="2" s="1"/>
  <c r="J19" i="6"/>
  <c r="J24" i="6" l="1"/>
  <c r="L74" i="2"/>
  <c r="L99" i="2" s="1"/>
  <c r="K9" i="4" s="1"/>
  <c r="K18" i="6"/>
  <c r="K71" i="6"/>
  <c r="K61" i="6"/>
  <c r="D20" i="5"/>
  <c r="E20" i="5"/>
  <c r="F20" i="5"/>
  <c r="G20" i="5"/>
  <c r="H20" i="5"/>
  <c r="I20" i="5"/>
  <c r="J10" i="5"/>
  <c r="K66" i="6" s="1"/>
  <c r="C10" i="6"/>
  <c r="K24" i="6"/>
  <c r="K10" i="6"/>
  <c r="J10" i="6"/>
  <c r="G8" i="6"/>
  <c r="I8" i="6" s="1"/>
  <c r="G9" i="6"/>
  <c r="I9" i="6" s="1"/>
  <c r="C31" i="6"/>
  <c r="J20" i="5" l="1"/>
  <c r="K25" i="6"/>
  <c r="I46" i="6"/>
  <c r="C46" i="6"/>
  <c r="I38" i="6"/>
  <c r="G42" i="6"/>
  <c r="J42" i="6" s="1"/>
  <c r="G41" i="6"/>
  <c r="J41" i="6" s="1"/>
  <c r="G40" i="6"/>
  <c r="G32" i="6"/>
  <c r="J32" i="6" s="1"/>
  <c r="G37" i="6"/>
  <c r="J37" i="6" s="1"/>
  <c r="G36" i="6"/>
  <c r="J36" i="6" s="1"/>
  <c r="G35" i="6"/>
  <c r="J35" i="6" s="1"/>
  <c r="G33" i="6"/>
  <c r="J33" i="6" s="1"/>
  <c r="G31" i="6"/>
  <c r="J31" i="6" s="1"/>
  <c r="G29" i="6"/>
  <c r="J29" i="6" s="1"/>
  <c r="C38" i="6"/>
  <c r="G7" i="6"/>
  <c r="I7" i="6" s="1"/>
  <c r="G6" i="6"/>
  <c r="J61" i="6"/>
  <c r="I10" i="5"/>
  <c r="H10" i="5"/>
  <c r="G10" i="5"/>
  <c r="F10" i="5"/>
  <c r="E10" i="5"/>
  <c r="D10" i="5"/>
  <c r="J171" i="2"/>
  <c r="J172" i="2" s="1"/>
  <c r="H171" i="2"/>
  <c r="H172" i="2" s="1"/>
  <c r="G171" i="2"/>
  <c r="G172" i="2" s="1"/>
  <c r="F171" i="2"/>
  <c r="F172" i="2" s="1"/>
  <c r="E171" i="2"/>
  <c r="E172" i="2" s="1"/>
  <c r="D171" i="2"/>
  <c r="D172" i="2" s="1"/>
  <c r="C171" i="2"/>
  <c r="C172" i="2" s="1"/>
  <c r="B171" i="2"/>
  <c r="B172" i="2" s="1"/>
  <c r="J165" i="2"/>
  <c r="H165" i="2"/>
  <c r="G165" i="2"/>
  <c r="F165" i="2"/>
  <c r="E165" i="2"/>
  <c r="D165" i="2"/>
  <c r="C165" i="2"/>
  <c r="B165" i="2"/>
  <c r="J162" i="2"/>
  <c r="H162" i="2"/>
  <c r="G162" i="2"/>
  <c r="F162" i="2"/>
  <c r="E162" i="2"/>
  <c r="D162" i="2"/>
  <c r="C162" i="2"/>
  <c r="B162" i="2"/>
  <c r="J159" i="2"/>
  <c r="H159" i="2"/>
  <c r="G159" i="2"/>
  <c r="F159" i="2"/>
  <c r="E159" i="2"/>
  <c r="D159" i="2"/>
  <c r="C159" i="2"/>
  <c r="B159" i="2"/>
  <c r="J155" i="2"/>
  <c r="H155" i="2"/>
  <c r="G155" i="2"/>
  <c r="F155" i="2"/>
  <c r="E155" i="2"/>
  <c r="D155" i="2"/>
  <c r="C155" i="2"/>
  <c r="B155" i="2"/>
  <c r="J151" i="2"/>
  <c r="H151" i="2"/>
  <c r="G151" i="2"/>
  <c r="F151" i="2"/>
  <c r="E151" i="2"/>
  <c r="D151" i="2"/>
  <c r="C151" i="2"/>
  <c r="B151" i="2"/>
  <c r="J148" i="2"/>
  <c r="H148" i="2"/>
  <c r="G148" i="2"/>
  <c r="F148" i="2"/>
  <c r="E148" i="2"/>
  <c r="D148" i="2"/>
  <c r="C148" i="2"/>
  <c r="B148" i="2"/>
  <c r="J142" i="2"/>
  <c r="H142" i="2"/>
  <c r="G142" i="2"/>
  <c r="F142" i="2"/>
  <c r="E142" i="2"/>
  <c r="D142" i="2"/>
  <c r="C142" i="2"/>
  <c r="B142" i="2"/>
  <c r="J138" i="2"/>
  <c r="H138" i="2"/>
  <c r="G138" i="2"/>
  <c r="F138" i="2"/>
  <c r="E138" i="2"/>
  <c r="D138" i="2"/>
  <c r="C138" i="2"/>
  <c r="B138" i="2"/>
  <c r="J134" i="2"/>
  <c r="H134" i="2"/>
  <c r="G134" i="2"/>
  <c r="F134" i="2"/>
  <c r="E134" i="2"/>
  <c r="D134" i="2"/>
  <c r="C134" i="2"/>
  <c r="B134" i="2"/>
  <c r="J127" i="2"/>
  <c r="H127" i="2"/>
  <c r="G127" i="2"/>
  <c r="F127" i="2"/>
  <c r="E127" i="2"/>
  <c r="D127" i="2"/>
  <c r="C127" i="2"/>
  <c r="B127" i="2"/>
  <c r="J123" i="2"/>
  <c r="H123" i="2"/>
  <c r="G123" i="2"/>
  <c r="F123" i="2"/>
  <c r="E123" i="2"/>
  <c r="D123" i="2"/>
  <c r="C123" i="2"/>
  <c r="B123" i="2"/>
  <c r="J120" i="2"/>
  <c r="H120" i="2"/>
  <c r="G120" i="2"/>
  <c r="F120" i="2"/>
  <c r="E120" i="2"/>
  <c r="D120" i="2"/>
  <c r="C120" i="2"/>
  <c r="B120" i="2"/>
  <c r="J116" i="2"/>
  <c r="H116" i="2"/>
  <c r="G116" i="2"/>
  <c r="F116" i="2"/>
  <c r="E116" i="2"/>
  <c r="D116" i="2"/>
  <c r="C116" i="2"/>
  <c r="B116" i="2"/>
  <c r="J109" i="2"/>
  <c r="J110" i="2" s="1"/>
  <c r="H109" i="2"/>
  <c r="H110" i="2" s="1"/>
  <c r="G109" i="2"/>
  <c r="G110" i="2" s="1"/>
  <c r="F109" i="2"/>
  <c r="F110" i="2" s="1"/>
  <c r="E109" i="2"/>
  <c r="E110" i="2" s="1"/>
  <c r="D109" i="2"/>
  <c r="D110" i="2" s="1"/>
  <c r="C109" i="2"/>
  <c r="C110" i="2" s="1"/>
  <c r="B109" i="2"/>
  <c r="B110" i="2" s="1"/>
  <c r="J105" i="2"/>
  <c r="H105" i="2"/>
  <c r="G105" i="2"/>
  <c r="F105" i="2"/>
  <c r="E105" i="2"/>
  <c r="D105" i="2"/>
  <c r="C105" i="2"/>
  <c r="C19" i="4" s="1"/>
  <c r="B105" i="2"/>
  <c r="J98" i="2"/>
  <c r="H98" i="2"/>
  <c r="G98" i="2"/>
  <c r="F98" i="2"/>
  <c r="E98" i="2"/>
  <c r="D98" i="2"/>
  <c r="C98" i="2"/>
  <c r="B98" i="2"/>
  <c r="J94" i="2"/>
  <c r="H94" i="2"/>
  <c r="G94" i="2"/>
  <c r="F94" i="2"/>
  <c r="E94" i="2"/>
  <c r="D94" i="2"/>
  <c r="C94" i="2"/>
  <c r="B94" i="2"/>
  <c r="J90" i="2"/>
  <c r="H90" i="2"/>
  <c r="G90" i="2"/>
  <c r="F90" i="2"/>
  <c r="E90" i="2"/>
  <c r="D90" i="2"/>
  <c r="C90" i="2"/>
  <c r="B90" i="2"/>
  <c r="J86" i="2"/>
  <c r="H86" i="2"/>
  <c r="G86" i="2"/>
  <c r="F86" i="2"/>
  <c r="E86" i="2"/>
  <c r="D86" i="2"/>
  <c r="C86" i="2"/>
  <c r="B86" i="2"/>
  <c r="J82" i="2"/>
  <c r="H82" i="2"/>
  <c r="G82" i="2"/>
  <c r="F82" i="2"/>
  <c r="E82" i="2"/>
  <c r="D82" i="2"/>
  <c r="C82" i="2"/>
  <c r="B82" i="2"/>
  <c r="J78" i="2"/>
  <c r="H78" i="2"/>
  <c r="G78" i="2"/>
  <c r="F78" i="2"/>
  <c r="E78" i="2"/>
  <c r="D78" i="2"/>
  <c r="C78" i="2"/>
  <c r="B78" i="2"/>
  <c r="J74" i="2"/>
  <c r="H74" i="2"/>
  <c r="G74" i="2"/>
  <c r="F74" i="2"/>
  <c r="E74" i="2"/>
  <c r="D74" i="2"/>
  <c r="C74" i="2"/>
  <c r="B74" i="2"/>
  <c r="J67" i="2"/>
  <c r="J30" i="4" s="1"/>
  <c r="H67" i="2"/>
  <c r="H30" i="4" s="1"/>
  <c r="G67" i="2"/>
  <c r="G30" i="4" s="1"/>
  <c r="F67" i="2"/>
  <c r="E67" i="2"/>
  <c r="E30" i="4" s="1"/>
  <c r="D67" i="2"/>
  <c r="C67" i="2"/>
  <c r="B67" i="2"/>
  <c r="J64" i="2"/>
  <c r="H64" i="2"/>
  <c r="G64" i="2"/>
  <c r="F64" i="2"/>
  <c r="E64" i="2"/>
  <c r="D64" i="2"/>
  <c r="C64" i="2"/>
  <c r="B64" i="2"/>
  <c r="J60" i="2"/>
  <c r="J29" i="4" s="1"/>
  <c r="H60" i="2"/>
  <c r="H29" i="4" s="1"/>
  <c r="G60" i="2"/>
  <c r="G29" i="4" s="1"/>
  <c r="F60" i="2"/>
  <c r="F29" i="4" s="1"/>
  <c r="E60" i="2"/>
  <c r="E29" i="4" s="1"/>
  <c r="D60" i="2"/>
  <c r="D29" i="4" s="1"/>
  <c r="C60" i="2"/>
  <c r="B60" i="2"/>
  <c r="J57" i="2"/>
  <c r="H57" i="2"/>
  <c r="G57" i="2"/>
  <c r="F57" i="2"/>
  <c r="E57" i="2"/>
  <c r="D57" i="2"/>
  <c r="C57" i="2"/>
  <c r="B57" i="2"/>
  <c r="J53" i="2"/>
  <c r="H53" i="2"/>
  <c r="G53" i="2"/>
  <c r="F53" i="2"/>
  <c r="E53" i="2"/>
  <c r="D53" i="2"/>
  <c r="C53" i="2"/>
  <c r="B53" i="2"/>
  <c r="J49" i="2"/>
  <c r="H49" i="2"/>
  <c r="G49" i="2"/>
  <c r="F49" i="2"/>
  <c r="E49" i="2"/>
  <c r="D49" i="2"/>
  <c r="C49" i="2"/>
  <c r="B49" i="2"/>
  <c r="J45" i="2"/>
  <c r="H45" i="2"/>
  <c r="G45" i="2"/>
  <c r="F45" i="2"/>
  <c r="E45" i="2"/>
  <c r="D45" i="2"/>
  <c r="C45" i="2"/>
  <c r="B45" i="2"/>
  <c r="J41" i="2"/>
  <c r="H41" i="2"/>
  <c r="G41" i="2"/>
  <c r="F41" i="2"/>
  <c r="E41" i="2"/>
  <c r="D41" i="2"/>
  <c r="C41" i="2"/>
  <c r="B41" i="2"/>
  <c r="J37" i="2"/>
  <c r="H37" i="2"/>
  <c r="G37" i="2"/>
  <c r="F37" i="2"/>
  <c r="E37" i="2"/>
  <c r="D37" i="2"/>
  <c r="C37" i="2"/>
  <c r="B37" i="2"/>
  <c r="J33" i="2"/>
  <c r="H33" i="2"/>
  <c r="G33" i="2"/>
  <c r="F33" i="2"/>
  <c r="E33" i="2"/>
  <c r="D33" i="2"/>
  <c r="C33" i="2"/>
  <c r="B33" i="2"/>
  <c r="J29" i="2"/>
  <c r="H29" i="2"/>
  <c r="G29" i="2"/>
  <c r="F29" i="2"/>
  <c r="E29" i="2"/>
  <c r="D29" i="2"/>
  <c r="C29" i="2"/>
  <c r="B29" i="2"/>
  <c r="J26" i="2"/>
  <c r="H26" i="2"/>
  <c r="G26" i="2"/>
  <c r="F26" i="2"/>
  <c r="E26" i="2"/>
  <c r="D26" i="2"/>
  <c r="C26" i="2"/>
  <c r="B26" i="2"/>
  <c r="J22" i="2"/>
  <c r="H22" i="2"/>
  <c r="G22" i="2"/>
  <c r="F22" i="2"/>
  <c r="E22" i="2"/>
  <c r="D22" i="2"/>
  <c r="C22" i="2"/>
  <c r="B22" i="2"/>
  <c r="J18" i="2"/>
  <c r="H18" i="2"/>
  <c r="G18" i="2"/>
  <c r="F18" i="2"/>
  <c r="E18" i="2"/>
  <c r="D18" i="2"/>
  <c r="C18" i="2"/>
  <c r="B18" i="2"/>
  <c r="J14" i="2"/>
  <c r="H14" i="2"/>
  <c r="G14" i="2"/>
  <c r="F14" i="2"/>
  <c r="E14" i="2"/>
  <c r="D14" i="2"/>
  <c r="C14" i="2"/>
  <c r="B14" i="2"/>
  <c r="J11" i="2"/>
  <c r="H11" i="2"/>
  <c r="G11" i="2"/>
  <c r="F11" i="2"/>
  <c r="E11" i="2"/>
  <c r="D11" i="2"/>
  <c r="C11" i="2"/>
  <c r="B11" i="2"/>
  <c r="H7" i="2"/>
  <c r="G7" i="2"/>
  <c r="F7" i="2"/>
  <c r="E7" i="2"/>
  <c r="D7" i="2"/>
  <c r="C7" i="2"/>
  <c r="B7" i="2"/>
  <c r="J7" i="2"/>
  <c r="K29" i="4" l="1"/>
  <c r="L29" i="4" s="1"/>
  <c r="I29" i="4"/>
  <c r="K30" i="4"/>
  <c r="L30" i="4" s="1"/>
  <c r="I30" i="4"/>
  <c r="C47" i="6"/>
  <c r="I47" i="6"/>
  <c r="K6" i="4"/>
  <c r="M29" i="4"/>
  <c r="D68" i="2"/>
  <c r="F68" i="2"/>
  <c r="G166" i="2"/>
  <c r="G68" i="2"/>
  <c r="F30" i="4"/>
  <c r="E166" i="2"/>
  <c r="D30" i="4"/>
  <c r="E68" i="2"/>
  <c r="B166" i="2"/>
  <c r="C166" i="2"/>
  <c r="F166" i="2"/>
  <c r="D166" i="2"/>
  <c r="I24" i="6"/>
  <c r="G24" i="6"/>
  <c r="L24" i="6" s="1"/>
  <c r="H166" i="2"/>
  <c r="I6" i="6"/>
  <c r="I10" i="6" s="1"/>
  <c r="G10" i="6"/>
  <c r="L10" i="6" s="1"/>
  <c r="G46" i="6"/>
  <c r="J38" i="6"/>
  <c r="H11" i="5"/>
  <c r="E11" i="5"/>
  <c r="I11" i="5"/>
  <c r="F11" i="5"/>
  <c r="I61" i="6"/>
  <c r="J40" i="6"/>
  <c r="J46" i="6" s="1"/>
  <c r="K38" i="6"/>
  <c r="K47" i="6" s="1"/>
  <c r="K49" i="6" s="1"/>
  <c r="K63" i="6" s="1"/>
  <c r="G11" i="5"/>
  <c r="H68" i="2"/>
  <c r="J128" i="2"/>
  <c r="E128" i="2"/>
  <c r="J166" i="2"/>
  <c r="F128" i="2"/>
  <c r="G143" i="2"/>
  <c r="G12" i="4" s="1"/>
  <c r="C128" i="2"/>
  <c r="G128" i="2"/>
  <c r="D143" i="2"/>
  <c r="D12" i="4" s="1"/>
  <c r="H143" i="2"/>
  <c r="H12" i="4" s="1"/>
  <c r="M12" i="4" s="1"/>
  <c r="B143" i="2"/>
  <c r="B12" i="4" s="1"/>
  <c r="F143" i="2"/>
  <c r="F12" i="4" s="1"/>
  <c r="B128" i="2"/>
  <c r="C143" i="2"/>
  <c r="C12" i="4" s="1"/>
  <c r="D128" i="2"/>
  <c r="H128" i="2"/>
  <c r="H10" i="4" s="1"/>
  <c r="M10" i="4" s="1"/>
  <c r="J143" i="2"/>
  <c r="J12" i="4" s="1"/>
  <c r="L12" i="4" s="1"/>
  <c r="E143" i="2"/>
  <c r="E12" i="4" s="1"/>
  <c r="J99" i="2"/>
  <c r="J9" i="4" s="1"/>
  <c r="AG9" i="4" s="1"/>
  <c r="E99" i="2"/>
  <c r="F99" i="2"/>
  <c r="C99" i="2"/>
  <c r="G99" i="2"/>
  <c r="B99" i="2"/>
  <c r="D99" i="2"/>
  <c r="H99" i="2"/>
  <c r="J68" i="2"/>
  <c r="I5" i="4" s="1"/>
  <c r="M5" i="2"/>
  <c r="M9" i="2"/>
  <c r="M13" i="2"/>
  <c r="M16" i="2"/>
  <c r="M20" i="2"/>
  <c r="M24" i="2"/>
  <c r="M31" i="2"/>
  <c r="M35" i="2"/>
  <c r="M39" i="2"/>
  <c r="M43" i="2"/>
  <c r="M47" i="2"/>
  <c r="M51" i="2"/>
  <c r="M55" i="2"/>
  <c r="M59" i="2"/>
  <c r="M66" i="2"/>
  <c r="M161" i="2"/>
  <c r="M157" i="2"/>
  <c r="M153" i="2"/>
  <c r="M147" i="2"/>
  <c r="M140" i="2"/>
  <c r="M136" i="2"/>
  <c r="M132" i="2"/>
  <c r="M96" i="2"/>
  <c r="M92" i="2"/>
  <c r="M88" i="2"/>
  <c r="M84" i="2"/>
  <c r="M80" i="2"/>
  <c r="M76" i="2"/>
  <c r="J13" i="4"/>
  <c r="L13" i="4" s="1"/>
  <c r="M72" i="2"/>
  <c r="M30" i="4" l="1"/>
  <c r="K33" i="4"/>
  <c r="K7" i="4"/>
  <c r="K8" i="4" s="1"/>
  <c r="P12" i="4"/>
  <c r="W12" i="4" s="1"/>
  <c r="J47" i="6"/>
  <c r="L46" i="6"/>
  <c r="R12" i="4"/>
  <c r="Y12" i="4" s="1"/>
  <c r="O12" i="4"/>
  <c r="V12" i="4" s="1"/>
  <c r="S12" i="4"/>
  <c r="Z12" i="4" s="1"/>
  <c r="U12" i="4"/>
  <c r="AB12" i="4" s="1"/>
  <c r="U10" i="4"/>
  <c r="AB10" i="4" s="1"/>
  <c r="Q12" i="4"/>
  <c r="X12" i="4" s="1"/>
  <c r="D174" i="2"/>
  <c r="F174" i="2"/>
  <c r="F41" i="4" s="1"/>
  <c r="G174" i="2"/>
  <c r="G41" i="4" s="1"/>
  <c r="J174" i="2"/>
  <c r="J41" i="4" s="1"/>
  <c r="J10" i="4"/>
  <c r="L10" i="4" s="1"/>
  <c r="E174" i="2"/>
  <c r="K67" i="6"/>
  <c r="K68" i="6" s="1"/>
  <c r="H174" i="2"/>
  <c r="G38" i="6"/>
  <c r="L38" i="6" s="1"/>
  <c r="H13" i="4"/>
  <c r="M13" i="4" s="1"/>
  <c r="G13" i="4"/>
  <c r="F13" i="4"/>
  <c r="E13" i="4"/>
  <c r="D13" i="4"/>
  <c r="C13" i="4"/>
  <c r="B13" i="4"/>
  <c r="C6" i="4"/>
  <c r="D6" i="4"/>
  <c r="E6" i="4"/>
  <c r="F6" i="4"/>
  <c r="G6" i="4"/>
  <c r="H6" i="4"/>
  <c r="J6" i="4"/>
  <c r="C7" i="4"/>
  <c r="D7" i="4"/>
  <c r="E7" i="4"/>
  <c r="F7" i="4"/>
  <c r="G7" i="4"/>
  <c r="H7" i="4"/>
  <c r="J7" i="4"/>
  <c r="B7" i="4"/>
  <c r="B6" i="4"/>
  <c r="B9" i="4"/>
  <c r="C9" i="4"/>
  <c r="D9" i="4"/>
  <c r="E9" i="4"/>
  <c r="F9" i="4"/>
  <c r="G9" i="4"/>
  <c r="H9" i="4"/>
  <c r="M9" i="4" s="1"/>
  <c r="B19" i="4"/>
  <c r="B20" i="4" s="1"/>
  <c r="C20" i="4"/>
  <c r="D19" i="4"/>
  <c r="E19" i="4"/>
  <c r="E20" i="4" s="1"/>
  <c r="F19" i="4"/>
  <c r="F20" i="4" s="1"/>
  <c r="G19" i="4"/>
  <c r="G20" i="4" s="1"/>
  <c r="H19" i="4"/>
  <c r="J19" i="4"/>
  <c r="B31" i="4"/>
  <c r="C31" i="4"/>
  <c r="D31" i="4"/>
  <c r="E31" i="4"/>
  <c r="F31" i="4"/>
  <c r="G31" i="4"/>
  <c r="H31" i="4"/>
  <c r="M31" i="4" s="1"/>
  <c r="J31" i="4"/>
  <c r="B10" i="4"/>
  <c r="C10" i="4"/>
  <c r="D10" i="4"/>
  <c r="E10" i="4"/>
  <c r="F10" i="4"/>
  <c r="G10" i="4"/>
  <c r="S10" i="4" s="1"/>
  <c r="Z10" i="4" s="1"/>
  <c r="B32" i="4"/>
  <c r="C32" i="4"/>
  <c r="D32" i="4"/>
  <c r="E32" i="4"/>
  <c r="F32" i="4"/>
  <c r="G32" i="4"/>
  <c r="H32" i="4"/>
  <c r="M32" i="4" s="1"/>
  <c r="J32" i="4"/>
  <c r="C5" i="4"/>
  <c r="D5" i="4"/>
  <c r="E5" i="4"/>
  <c r="F5" i="4"/>
  <c r="G5" i="4"/>
  <c r="H5" i="4"/>
  <c r="J5" i="4"/>
  <c r="L5" i="4" s="1"/>
  <c r="B5" i="4"/>
  <c r="L9" i="4" l="1"/>
  <c r="AD9" i="4"/>
  <c r="AE10" i="4" s="1"/>
  <c r="L6" i="4"/>
  <c r="I6" i="4"/>
  <c r="L7" i="4"/>
  <c r="I7" i="4"/>
  <c r="I8" i="4" s="1"/>
  <c r="I15" i="4" s="1"/>
  <c r="Q10" i="4"/>
  <c r="X10" i="4" s="1"/>
  <c r="P9" i="4"/>
  <c r="W9" i="4" s="1"/>
  <c r="O10" i="4"/>
  <c r="V10" i="4" s="1"/>
  <c r="G47" i="6"/>
  <c r="L32" i="4"/>
  <c r="I32" i="4"/>
  <c r="I22" i="4"/>
  <c r="I21" i="4"/>
  <c r="L31" i="4"/>
  <c r="I31" i="4"/>
  <c r="K15" i="4"/>
  <c r="O13" i="4"/>
  <c r="V13" i="4" s="1"/>
  <c r="P10" i="4"/>
  <c r="W10" i="4" s="1"/>
  <c r="O9" i="4"/>
  <c r="V9" i="4" s="1"/>
  <c r="N12" i="4"/>
  <c r="Q13" i="4"/>
  <c r="X13" i="4" s="1"/>
  <c r="R9" i="4"/>
  <c r="Y9" i="4" s="1"/>
  <c r="S13" i="4"/>
  <c r="Z13" i="4" s="1"/>
  <c r="U13" i="4"/>
  <c r="AB13" i="4" s="1"/>
  <c r="R13" i="4"/>
  <c r="Y13" i="4" s="1"/>
  <c r="S9" i="4"/>
  <c r="Z9" i="4" s="1"/>
  <c r="U9" i="4"/>
  <c r="AB9" i="4" s="1"/>
  <c r="R10" i="4"/>
  <c r="Y10" i="4" s="1"/>
  <c r="Q9" i="4"/>
  <c r="X9" i="4" s="1"/>
  <c r="P13" i="4"/>
  <c r="W13" i="4" s="1"/>
  <c r="D20" i="4"/>
  <c r="D21" i="4"/>
  <c r="D41" i="4"/>
  <c r="J178" i="2"/>
  <c r="E41" i="4"/>
  <c r="F34" i="4"/>
  <c r="J34" i="4"/>
  <c r="E34" i="4"/>
  <c r="G34" i="4"/>
  <c r="H34" i="4"/>
  <c r="D34" i="4"/>
  <c r="C33" i="4"/>
  <c r="D17" i="6"/>
  <c r="H20" i="4"/>
  <c r="J20" i="4"/>
  <c r="H33" i="4"/>
  <c r="M33" i="4" s="1"/>
  <c r="H8" i="4"/>
  <c r="M8" i="4" s="1"/>
  <c r="B33" i="4"/>
  <c r="H41" i="4"/>
  <c r="G21" i="4"/>
  <c r="G22" i="4"/>
  <c r="F21" i="4"/>
  <c r="F22" i="4"/>
  <c r="J22" i="4"/>
  <c r="J21" i="4"/>
  <c r="E22" i="4"/>
  <c r="E21" i="4"/>
  <c r="C21" i="4"/>
  <c r="C22" i="4"/>
  <c r="H21" i="4"/>
  <c r="H22" i="4"/>
  <c r="D22" i="4"/>
  <c r="J8" i="4"/>
  <c r="J15" i="4" s="1"/>
  <c r="D33" i="4"/>
  <c r="F33" i="4"/>
  <c r="J33" i="4"/>
  <c r="E33" i="4"/>
  <c r="G33" i="4"/>
  <c r="G8" i="4"/>
  <c r="C8" i="4"/>
  <c r="C15" i="4" s="1"/>
  <c r="B8" i="4"/>
  <c r="B15" i="4" s="1"/>
  <c r="F8" i="4"/>
  <c r="E8" i="4"/>
  <c r="D8" i="4"/>
  <c r="I24" i="4" l="1"/>
  <c r="C16" i="6"/>
  <c r="L47" i="6"/>
  <c r="L33" i="4"/>
  <c r="I34" i="4"/>
  <c r="I33" i="4"/>
  <c r="C14" i="6" s="1"/>
  <c r="L8" i="4"/>
  <c r="L15" i="4" s="1"/>
  <c r="N10" i="4"/>
  <c r="N13" i="4"/>
  <c r="N9" i="4"/>
  <c r="H15" i="4"/>
  <c r="S8" i="4"/>
  <c r="Z8" i="4" s="1"/>
  <c r="U8" i="4"/>
  <c r="AB8" i="4" s="1"/>
  <c r="G15" i="4"/>
  <c r="R8" i="4"/>
  <c r="Y8" i="4" s="1"/>
  <c r="D15" i="4"/>
  <c r="D16" i="4" s="1"/>
  <c r="O8" i="4"/>
  <c r="V8" i="4" s="1"/>
  <c r="E15" i="4"/>
  <c r="P8" i="4"/>
  <c r="W8" i="4" s="1"/>
  <c r="F15" i="4"/>
  <c r="Q8" i="4"/>
  <c r="X8" i="4" s="1"/>
  <c r="C35" i="4"/>
  <c r="D14" i="6"/>
  <c r="K34" i="4"/>
  <c r="K35" i="4"/>
  <c r="D35" i="4"/>
  <c r="J35" i="4"/>
  <c r="E35" i="4"/>
  <c r="G35" i="4"/>
  <c r="C37" i="4"/>
  <c r="C16" i="4"/>
  <c r="B24" i="4"/>
  <c r="B37" i="4"/>
  <c r="F35" i="4"/>
  <c r="C24" i="4"/>
  <c r="H35" i="4"/>
  <c r="C17" i="4"/>
  <c r="M15" i="4" l="1"/>
  <c r="I16" i="4"/>
  <c r="I17" i="4"/>
  <c r="D16" i="6"/>
  <c r="D18" i="6" s="1"/>
  <c r="H16" i="4"/>
  <c r="I35" i="4"/>
  <c r="I37" i="4"/>
  <c r="H24" i="4"/>
  <c r="K16" i="4"/>
  <c r="N34" i="4"/>
  <c r="L34" i="4"/>
  <c r="G24" i="4"/>
  <c r="H26" i="4" s="1"/>
  <c r="H17" i="4"/>
  <c r="G14" i="6"/>
  <c r="C18" i="6"/>
  <c r="G16" i="4"/>
  <c r="F24" i="4"/>
  <c r="F37" i="4" s="1"/>
  <c r="F42" i="4" s="1"/>
  <c r="K17" i="4"/>
  <c r="J16" i="4"/>
  <c r="G17" i="4"/>
  <c r="D24" i="4"/>
  <c r="D37" i="4" s="1"/>
  <c r="D42" i="4" s="1"/>
  <c r="D17" i="4"/>
  <c r="N8" i="4"/>
  <c r="C26" i="4"/>
  <c r="C25" i="4"/>
  <c r="N35" i="4"/>
  <c r="E17" i="4"/>
  <c r="E24" i="4"/>
  <c r="F16" i="4"/>
  <c r="E16" i="4"/>
  <c r="F17" i="4"/>
  <c r="J17" i="4"/>
  <c r="J24" i="4"/>
  <c r="C38" i="4"/>
  <c r="C39" i="4" s="1"/>
  <c r="C25" i="6" l="1"/>
  <c r="C49" i="6" s="1"/>
  <c r="C63" i="6" s="1"/>
  <c r="N16" i="4"/>
  <c r="I26" i="4"/>
  <c r="I25" i="4"/>
  <c r="I42" i="4"/>
  <c r="H37" i="4"/>
  <c r="H42" i="4" s="1"/>
  <c r="H25" i="4"/>
  <c r="I14" i="6"/>
  <c r="K69" i="6"/>
  <c r="K70" i="6" s="1"/>
  <c r="K72" i="6" s="1"/>
  <c r="E16" i="6" s="1"/>
  <c r="G16" i="6" s="1"/>
  <c r="L16" i="4"/>
  <c r="L14" i="6"/>
  <c r="G37" i="4"/>
  <c r="G42" i="4" s="1"/>
  <c r="G25" i="4"/>
  <c r="F26" i="4"/>
  <c r="G26" i="4"/>
  <c r="D25" i="4"/>
  <c r="D26" i="4"/>
  <c r="F25" i="4"/>
  <c r="J26" i="4"/>
  <c r="J25" i="4"/>
  <c r="E26" i="4"/>
  <c r="E25" i="4"/>
  <c r="D38" i="4"/>
  <c r="D39" i="4" s="1"/>
  <c r="E37" i="4"/>
  <c r="F38" i="4" s="1"/>
  <c r="F39" i="4" s="1"/>
  <c r="J37" i="4"/>
  <c r="I38" i="4" l="1"/>
  <c r="I39" i="4" s="1"/>
  <c r="H38" i="4"/>
  <c r="H39" i="4" s="1"/>
  <c r="G38" i="4"/>
  <c r="G39" i="4" s="1"/>
  <c r="Q15" i="6"/>
  <c r="E17" i="6"/>
  <c r="G17" i="6" s="1"/>
  <c r="J38" i="4"/>
  <c r="J39" i="4" s="1"/>
  <c r="J42" i="4"/>
  <c r="E42" i="4"/>
  <c r="E38" i="4"/>
  <c r="E39" i="4" s="1"/>
  <c r="G18" i="6" l="1"/>
  <c r="I17" i="6"/>
  <c r="L103" i="2"/>
  <c r="M103" i="2" s="1"/>
  <c r="E18" i="6"/>
  <c r="E25" i="6" s="1"/>
  <c r="K19" i="4"/>
  <c r="L19" i="4" s="1"/>
  <c r="L17" i="6"/>
  <c r="L104" i="2" l="1"/>
  <c r="L105" i="2" s="1"/>
  <c r="L174" i="2" s="1"/>
  <c r="K41" i="4" s="1"/>
  <c r="K20" i="4"/>
  <c r="L20" i="4" s="1"/>
  <c r="M19" i="4"/>
  <c r="N17" i="4"/>
  <c r="K24" i="4"/>
  <c r="L178" i="2" l="1"/>
  <c r="K37" i="4"/>
  <c r="L37" i="4" s="1"/>
  <c r="L24" i="4"/>
  <c r="K22" i="4"/>
  <c r="N22" i="4" s="1"/>
  <c r="K21" i="4"/>
  <c r="L21" i="4" s="1"/>
  <c r="K26" i="4"/>
  <c r="N26" i="4" s="1"/>
  <c r="K25" i="4"/>
  <c r="N21" i="4" l="1"/>
  <c r="K38" i="4"/>
  <c r="L38" i="4" s="1"/>
  <c r="M37" i="4"/>
  <c r="N25" i="4"/>
  <c r="L25" i="4"/>
  <c r="K42" i="4"/>
  <c r="K39" i="4" l="1"/>
  <c r="F18" i="6" l="1"/>
  <c r="F25" i="6" s="1"/>
  <c r="J16" i="6"/>
  <c r="L18" i="6"/>
  <c r="J18" i="6" l="1"/>
  <c r="I16" i="6"/>
  <c r="I18" i="6" s="1"/>
  <c r="I25" i="6" s="1"/>
  <c r="I49" i="6" s="1"/>
  <c r="I63" i="6" s="1"/>
  <c r="L16" i="6"/>
  <c r="G25" i="6"/>
  <c r="G49" i="6" s="1"/>
  <c r="G63" i="6" s="1"/>
  <c r="J25" i="6" l="1"/>
  <c r="J49" i="6" s="1"/>
  <c r="J63" i="6" s="1"/>
  <c r="L25" i="6"/>
</calcChain>
</file>

<file path=xl/comments1.xml><?xml version="1.0" encoding="utf-8"?>
<comments xmlns="http://schemas.openxmlformats.org/spreadsheetml/2006/main">
  <authors>
    <author>Charles Aspinwall</author>
    <author>Townacct</author>
  </authors>
  <commentList>
    <comment ref="G20" authorId="0" shapeId="0">
      <text>
        <r>
          <rPr>
            <b/>
            <sz val="9"/>
            <color indexed="81"/>
            <rFont val="Tahoma"/>
            <family val="2"/>
          </rPr>
          <t>Charles Aspinwall:</t>
        </r>
        <r>
          <rPr>
            <sz val="9"/>
            <color indexed="81"/>
            <rFont val="Tahoma"/>
            <family val="2"/>
          </rPr>
          <t xml:space="preserve">
cut clerk OT
</t>
        </r>
      </text>
    </comment>
    <comment ref="H20" authorId="0" shapeId="0">
      <text>
        <r>
          <rPr>
            <b/>
            <sz val="9"/>
            <color indexed="81"/>
            <rFont val="Tahoma"/>
            <family val="2"/>
          </rPr>
          <t>Charles Aspinwall:</t>
        </r>
        <r>
          <rPr>
            <sz val="9"/>
            <color indexed="81"/>
            <rFont val="Tahoma"/>
            <family val="2"/>
          </rPr>
          <t xml:space="preserve">
cut clerk OT
</t>
        </r>
      </text>
    </comment>
    <comment ref="G21" authorId="0" shapeId="0">
      <text>
        <r>
          <rPr>
            <b/>
            <sz val="9"/>
            <color indexed="81"/>
            <rFont val="Tahoma"/>
            <family val="2"/>
          </rPr>
          <t>Charles Aspinwall:</t>
        </r>
        <r>
          <rPr>
            <sz val="9"/>
            <color indexed="81"/>
            <rFont val="Tahoma"/>
            <family val="2"/>
          </rPr>
          <t xml:space="preserve">
level fund
</t>
        </r>
      </text>
    </comment>
    <comment ref="H21" authorId="0" shapeId="0">
      <text>
        <r>
          <rPr>
            <b/>
            <sz val="9"/>
            <color indexed="81"/>
            <rFont val="Tahoma"/>
            <family val="2"/>
          </rPr>
          <t>Charles Aspinwall:</t>
        </r>
        <r>
          <rPr>
            <sz val="9"/>
            <color indexed="81"/>
            <rFont val="Tahoma"/>
            <family val="2"/>
          </rPr>
          <t xml:space="preserve">
level fund
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Charles Aspinwall:</t>
        </r>
        <r>
          <rPr>
            <sz val="9"/>
            <color indexed="81"/>
            <rFont val="Tahoma"/>
            <family val="2"/>
          </rPr>
          <t xml:space="preserve">
level fund
</t>
        </r>
      </text>
    </comment>
    <comment ref="H25" authorId="0" shapeId="0">
      <text>
        <r>
          <rPr>
            <b/>
            <sz val="9"/>
            <color indexed="81"/>
            <rFont val="Tahoma"/>
            <family val="2"/>
          </rPr>
          <t>Charles Aspinwall:</t>
        </r>
        <r>
          <rPr>
            <sz val="9"/>
            <color indexed="81"/>
            <rFont val="Tahoma"/>
            <family val="2"/>
          </rPr>
          <t xml:space="preserve">
level fund
</t>
        </r>
      </text>
    </comment>
    <comment ref="G32" authorId="0" shapeId="0">
      <text>
        <r>
          <rPr>
            <b/>
            <sz val="9"/>
            <color indexed="81"/>
            <rFont val="Tahoma"/>
            <family val="2"/>
          </rPr>
          <t>Charles Aspinwall:</t>
        </r>
        <r>
          <rPr>
            <sz val="9"/>
            <color indexed="81"/>
            <rFont val="Tahoma"/>
            <family val="2"/>
          </rPr>
          <t xml:space="preserve">
increased computer equipment line</t>
        </r>
      </text>
    </comment>
    <comment ref="H32" authorId="0" shapeId="0">
      <text>
        <r>
          <rPr>
            <b/>
            <sz val="9"/>
            <color indexed="81"/>
            <rFont val="Tahoma"/>
            <family val="2"/>
          </rPr>
          <t>Charles Aspinwall:</t>
        </r>
        <r>
          <rPr>
            <sz val="9"/>
            <color indexed="81"/>
            <rFont val="Tahoma"/>
            <family val="2"/>
          </rPr>
          <t xml:space="preserve">
increased computer equipment line</t>
        </r>
      </text>
    </comment>
    <comment ref="F55" authorId="0" shapeId="0">
      <text>
        <r>
          <rPr>
            <b/>
            <sz val="9"/>
            <color indexed="81"/>
            <rFont val="Tahoma"/>
            <family val="2"/>
          </rPr>
          <t>Charles Aspinwall:</t>
        </r>
        <r>
          <rPr>
            <sz val="9"/>
            <color indexed="81"/>
            <rFont val="Tahoma"/>
            <family val="2"/>
          </rPr>
          <t xml:space="preserve">
avg last three yrs
</t>
        </r>
      </text>
    </comment>
    <comment ref="G55" authorId="0" shapeId="0">
      <text>
        <r>
          <rPr>
            <b/>
            <sz val="9"/>
            <color indexed="81"/>
            <rFont val="Tahoma"/>
            <family val="2"/>
          </rPr>
          <t>Charles Aspinwall:</t>
        </r>
        <r>
          <rPr>
            <sz val="9"/>
            <color indexed="81"/>
            <rFont val="Tahoma"/>
            <family val="2"/>
          </rPr>
          <t xml:space="preserve">
avg last 3 yrs *1.02*1.02*1.02
</t>
        </r>
      </text>
    </comment>
    <comment ref="G56" authorId="0" shapeId="0">
      <text>
        <r>
          <rPr>
            <b/>
            <sz val="9"/>
            <color indexed="81"/>
            <rFont val="Tahoma"/>
            <family val="2"/>
          </rPr>
          <t>Charles Aspinwall:</t>
        </r>
        <r>
          <rPr>
            <sz val="9"/>
            <color indexed="81"/>
            <rFont val="Tahoma"/>
            <family val="2"/>
          </rPr>
          <t xml:space="preserve">
avg last 3 yrs
</t>
        </r>
      </text>
    </comment>
    <comment ref="G63" authorId="0" shapeId="0">
      <text>
        <r>
          <rPr>
            <b/>
            <sz val="9"/>
            <color indexed="81"/>
            <rFont val="Tahoma"/>
            <family val="2"/>
          </rPr>
          <t xml:space="preserve">Charles aspinwall
cuts to heat &amp; electricity based on fy 14 use
</t>
        </r>
      </text>
    </comment>
    <comment ref="H63" authorId="0" shapeId="0">
      <text>
        <r>
          <rPr>
            <b/>
            <sz val="9"/>
            <color indexed="81"/>
            <rFont val="Tahoma"/>
            <family val="2"/>
          </rPr>
          <t xml:space="preserve">Charles aspinwall
cuts to heat &amp; electricity based on fy 14 use
</t>
        </r>
      </text>
    </comment>
    <comment ref="G73" authorId="0" shapeId="0">
      <text>
        <r>
          <rPr>
            <b/>
            <sz val="9"/>
            <color indexed="81"/>
            <rFont val="Tahoma"/>
            <family val="2"/>
          </rPr>
          <t xml:space="preserve">Charles Aspinwall
based on fy 13 actuals + 3100 Bickford reimbursement
</t>
        </r>
      </text>
    </comment>
    <comment ref="H73" authorId="0" shapeId="0">
      <text>
        <r>
          <rPr>
            <b/>
            <sz val="9"/>
            <color indexed="81"/>
            <rFont val="Tahoma"/>
            <family val="2"/>
          </rPr>
          <t xml:space="preserve">Charles Aspinwall
based on fy 13 actuals + 3100 Bickford reimbursement
</t>
        </r>
      </text>
    </comment>
    <comment ref="I73" authorId="1" shapeId="0">
      <text>
        <r>
          <rPr>
            <b/>
            <sz val="9"/>
            <color indexed="81"/>
            <rFont val="Tahoma"/>
            <family val="2"/>
          </rPr>
          <t>Townacct:</t>
        </r>
        <r>
          <rPr>
            <sz val="9"/>
            <color indexed="81"/>
            <rFont val="Tahoma"/>
            <family val="2"/>
          </rPr>
          <t xml:space="preserve">
REDUCED BY $49k 
ELECTRICITY AND INCREASED TO $54,445 PER B WEISE</t>
        </r>
      </text>
    </comment>
    <comment ref="J73" authorId="1" shapeId="0">
      <text>
        <r>
          <rPr>
            <b/>
            <sz val="9"/>
            <color indexed="81"/>
            <rFont val="Tahoma"/>
            <family val="2"/>
          </rPr>
          <t>Townacct:</t>
        </r>
        <r>
          <rPr>
            <sz val="9"/>
            <color indexed="81"/>
            <rFont val="Tahoma"/>
            <family val="2"/>
          </rPr>
          <t xml:space="preserve">
REDUCED BY $49k 
ELECTRICITY AND INCREASED TO $54,445 PER B WEISE</t>
        </r>
      </text>
    </comment>
    <comment ref="L73" authorId="1" shapeId="0">
      <text>
        <r>
          <rPr>
            <b/>
            <sz val="9"/>
            <color indexed="81"/>
            <rFont val="Tahoma"/>
            <family val="2"/>
          </rPr>
          <t>Townacct:</t>
        </r>
        <r>
          <rPr>
            <sz val="9"/>
            <color indexed="81"/>
            <rFont val="Tahoma"/>
            <family val="2"/>
          </rPr>
          <t xml:space="preserve">
REDUCED BY $49k 
ELECTRICITY AND INCREASED TO $54,445 PER B WEISE</t>
        </r>
      </text>
    </comment>
    <comment ref="H76" authorId="0" shapeId="0">
      <text>
        <r>
          <rPr>
            <b/>
            <sz val="9"/>
            <color indexed="81"/>
            <rFont val="Tahoma"/>
            <family val="2"/>
          </rPr>
          <t>Charles Aspinwall:</t>
        </r>
        <r>
          <rPr>
            <sz val="9"/>
            <color indexed="81"/>
            <rFont val="Tahoma"/>
            <family val="2"/>
          </rPr>
          <t xml:space="preserve">
added new hire last qtr of year</t>
        </r>
      </text>
    </comment>
    <comment ref="G77" authorId="0" shapeId="0">
      <text>
        <r>
          <rPr>
            <b/>
            <sz val="9"/>
            <color indexed="81"/>
            <rFont val="Tahoma"/>
            <family val="2"/>
          </rPr>
          <t>Charles Aspinwall:</t>
        </r>
        <r>
          <rPr>
            <sz val="9"/>
            <color indexed="81"/>
            <rFont val="Tahoma"/>
            <family val="2"/>
          </rPr>
          <t xml:space="preserve">
level fund
</t>
        </r>
      </text>
    </comment>
    <comment ref="H84" authorId="0" shapeId="0">
      <text>
        <r>
          <rPr>
            <b/>
            <sz val="9"/>
            <color indexed="81"/>
            <rFont val="Tahoma"/>
            <family val="2"/>
          </rPr>
          <t>Charles Aspinwall:</t>
        </r>
        <r>
          <rPr>
            <sz val="9"/>
            <color indexed="81"/>
            <rFont val="Tahoma"/>
            <family val="2"/>
          </rPr>
          <t xml:space="preserve">
inc wages from fees 19K above fy16 and clerical addtl 12 hrs</t>
        </r>
      </text>
    </comment>
  </commentList>
</comments>
</file>

<file path=xl/sharedStrings.xml><?xml version="1.0" encoding="utf-8"?>
<sst xmlns="http://schemas.openxmlformats.org/spreadsheetml/2006/main" count="362" uniqueCount="200">
  <si>
    <t>SALARIES</t>
  </si>
  <si>
    <t>EXPENSES</t>
  </si>
  <si>
    <t>TOTAL</t>
  </si>
  <si>
    <t>FINANCE COMMITTEE</t>
  </si>
  <si>
    <t xml:space="preserve">     SALARIES</t>
  </si>
  <si>
    <t>RESERVE FUND</t>
  </si>
  <si>
    <t>ASSESSORS</t>
  </si>
  <si>
    <t>TOWN COUNSEL</t>
  </si>
  <si>
    <t>DATA PROCESSING</t>
  </si>
  <si>
    <t>TOWN CLERK</t>
  </si>
  <si>
    <t>ELECTIONS</t>
  </si>
  <si>
    <t>REGISTRARS</t>
  </si>
  <si>
    <t>CONSERVATION</t>
  </si>
  <si>
    <t>PLANNING BOARD</t>
  </si>
  <si>
    <t xml:space="preserve">      SALARIES</t>
  </si>
  <si>
    <t xml:space="preserve">      EXPENSES</t>
  </si>
  <si>
    <t>GENERAL INSURANCE</t>
  </si>
  <si>
    <t>TOWN BUILDINGS</t>
  </si>
  <si>
    <t>PUBLIC SAFETY</t>
  </si>
  <si>
    <t>POLICE DEPARTMENT</t>
  </si>
  <si>
    <t>DISPATCH</t>
  </si>
  <si>
    <t>BUILDING DEPT.</t>
  </si>
  <si>
    <t>SEALER W&amp;M</t>
  </si>
  <si>
    <t>EMERG MGMT COMM</t>
  </si>
  <si>
    <t>ANIMAL CONTROL</t>
  </si>
  <si>
    <t>EDUCATION</t>
  </si>
  <si>
    <t>DPW HIGHWAY</t>
  </si>
  <si>
    <t>STREET LIGHTS</t>
  </si>
  <si>
    <t>TRANSFER STATION</t>
  </si>
  <si>
    <t>BOARD OF HEALTH</t>
  </si>
  <si>
    <t>COUNCIL ON AGING</t>
  </si>
  <si>
    <t>VETERANS</t>
  </si>
  <si>
    <t>MEMORIAL DAY</t>
  </si>
  <si>
    <t>LEGION</t>
  </si>
  <si>
    <t>LIBRARY</t>
  </si>
  <si>
    <t>HISTORICAL</t>
  </si>
  <si>
    <t>OAK GROVE FARM COMM</t>
  </si>
  <si>
    <t>DEBT SERVICE</t>
  </si>
  <si>
    <t xml:space="preserve">      TAX RATE EXEMPT</t>
  </si>
  <si>
    <t xml:space="preserve">      TAX RATE </t>
  </si>
  <si>
    <t>TREASURER/COLLECTOR</t>
  </si>
  <si>
    <t>EMPLOYEE BENEFITS</t>
  </si>
  <si>
    <t>LINE 1 - GENERAL GOVT</t>
  </si>
  <si>
    <t>LINE 2 - PUBLIC SAFETY</t>
  </si>
  <si>
    <t>MILLIS SCHOOLS</t>
  </si>
  <si>
    <t>LINE 3 - MILLIS SCHOOLS</t>
  </si>
  <si>
    <t>LINE 4 - TRI-COUNTY</t>
  </si>
  <si>
    <t>TRICOUNTY SCHOOL</t>
  </si>
  <si>
    <t>GENERAL GOVERNMENT</t>
  </si>
  <si>
    <t>HEALTH &amp; HUMAN SERVICES</t>
  </si>
  <si>
    <t>CULTURE &amp; RECREATION</t>
  </si>
  <si>
    <t>TOTAL BUDGET</t>
  </si>
  <si>
    <t>PUBLIC WORKS</t>
  </si>
  <si>
    <t>ACTUAL</t>
  </si>
  <si>
    <t xml:space="preserve">                                        EXPENSES</t>
  </si>
  <si>
    <t>FIRE/RESCUE DEPARTMENT</t>
  </si>
  <si>
    <t>RECREATION</t>
  </si>
  <si>
    <t xml:space="preserve">OPERATING BUDGET </t>
  </si>
  <si>
    <t>SUMMARY - TABLE 2</t>
  </si>
  <si>
    <t>FY12</t>
  </si>
  <si>
    <t>FY11</t>
  </si>
  <si>
    <t>LINE 5 PUBLIC WORKS</t>
  </si>
  <si>
    <t>FY13</t>
  </si>
  <si>
    <t>LINE 7 CULTURE &amp; RECREATION</t>
  </si>
  <si>
    <t>LINE 8 DEBT SERVICE</t>
  </si>
  <si>
    <t>FY14</t>
  </si>
  <si>
    <t xml:space="preserve">SELECTMEN/TA      </t>
  </si>
  <si>
    <t xml:space="preserve">FY15 </t>
  </si>
  <si>
    <r>
      <t>LINE 6 HLTH/</t>
    </r>
    <r>
      <rPr>
        <b/>
        <sz val="9"/>
        <rFont val="Arial Narrow"/>
        <family val="2"/>
      </rPr>
      <t>HUMN</t>
    </r>
    <r>
      <rPr>
        <b/>
        <sz val="10"/>
        <rFont val="Arial Narrow"/>
        <family val="2"/>
      </rPr>
      <t xml:space="preserve"> </t>
    </r>
    <r>
      <rPr>
        <b/>
        <sz val="9"/>
        <rFont val="Arial Narrow"/>
        <family val="2"/>
      </rPr>
      <t>SERV</t>
    </r>
  </si>
  <si>
    <t>FY16</t>
  </si>
  <si>
    <t>APPR</t>
  </si>
  <si>
    <t xml:space="preserve">FY17 </t>
  </si>
  <si>
    <t>FINANCE DIR/ACCOUNTANT</t>
  </si>
  <si>
    <t>ZONING BOARD</t>
  </si>
  <si>
    <t>FY18</t>
  </si>
  <si>
    <t>REQUEST</t>
  </si>
  <si>
    <t>3% Personell Plan</t>
  </si>
  <si>
    <t>LESS: Insurance</t>
  </si>
  <si>
    <t>LESS: Benefits</t>
  </si>
  <si>
    <t>LINE 1 - ADJUSTED:</t>
  </si>
  <si>
    <t>GENERAL INSURANCE (From Line 1)</t>
  </si>
  <si>
    <t>EMPLOYEE BENEFITS (From Line 1)</t>
  </si>
  <si>
    <t>Total Non-Mandated and shared:</t>
  </si>
  <si>
    <t>Total Budget:</t>
  </si>
  <si>
    <t>Muni Raises (3% in warrant):</t>
  </si>
  <si>
    <t>Growth From Prior Year:</t>
  </si>
  <si>
    <t>Snow and Ice</t>
  </si>
  <si>
    <t>Proof:</t>
  </si>
  <si>
    <t>Shared or mandated expenses</t>
  </si>
  <si>
    <t>Recuring</t>
  </si>
  <si>
    <t>State Aid</t>
  </si>
  <si>
    <t>Local Receipts</t>
  </si>
  <si>
    <t>Levy</t>
  </si>
  <si>
    <t>Non-Recuring</t>
  </si>
  <si>
    <t>Free Cash</t>
  </si>
  <si>
    <t>Special Case</t>
  </si>
  <si>
    <t>From Water</t>
  </si>
  <si>
    <t>From Sewer</t>
  </si>
  <si>
    <t>Stabilization</t>
  </si>
  <si>
    <t>Police/ Fire</t>
  </si>
  <si>
    <t>Library</t>
  </si>
  <si>
    <t>Uses of Funds</t>
  </si>
  <si>
    <t>Sources</t>
  </si>
  <si>
    <t>Shared:</t>
  </si>
  <si>
    <t>Other amts to Raise</t>
  </si>
  <si>
    <t>Level Service Budgets</t>
  </si>
  <si>
    <t>Library Offset:</t>
  </si>
  <si>
    <t>School Choice:</t>
  </si>
  <si>
    <t>Resource Officer:</t>
  </si>
  <si>
    <t>Firefighter:</t>
  </si>
  <si>
    <t>Fire Dept. Assistant:</t>
  </si>
  <si>
    <t>Must Fund:</t>
  </si>
  <si>
    <t>Unpaid Bills</t>
  </si>
  <si>
    <t>CY Exp: Snow and Ice</t>
  </si>
  <si>
    <t>CY Exp: Police Overtime</t>
  </si>
  <si>
    <t>Actuarial Study</t>
  </si>
  <si>
    <t>Storm Water</t>
  </si>
  <si>
    <t>School Bus Lease</t>
  </si>
  <si>
    <t>School Computer Lease</t>
  </si>
  <si>
    <t>Medicaid Billing</t>
  </si>
  <si>
    <t>Audit</t>
  </si>
  <si>
    <t>Clear Gov</t>
  </si>
  <si>
    <t>New Computer Lease</t>
  </si>
  <si>
    <t>CFB Roof</t>
  </si>
  <si>
    <t>Total Budget Items:</t>
  </si>
  <si>
    <t>Total Must Fund Items:</t>
  </si>
  <si>
    <t>Total Funds Remaining:</t>
  </si>
  <si>
    <t>Discretionary Items:</t>
  </si>
  <si>
    <t>Total Discretionary Items:</t>
  </si>
  <si>
    <t>Total Available Funds:</t>
  </si>
  <si>
    <t>Other Available Funds</t>
  </si>
  <si>
    <t>Allow Abate Exempt:</t>
  </si>
  <si>
    <t>State and County:</t>
  </si>
  <si>
    <t>Shared (Non-Discretionary):</t>
  </si>
  <si>
    <t>Total Other amts to Raise:</t>
  </si>
  <si>
    <t>HS/MS Bathroom</t>
  </si>
  <si>
    <t>"Other amts to raise"</t>
  </si>
  <si>
    <t>FY18 FinCom</t>
  </si>
  <si>
    <t>FY17:</t>
  </si>
  <si>
    <t>Muni</t>
  </si>
  <si>
    <t>Town Technology</t>
  </si>
  <si>
    <t>Total School Budget</t>
  </si>
  <si>
    <t>Change From Prior Year:</t>
  </si>
  <si>
    <t>Total Shared/ Mandated Expenses</t>
  </si>
  <si>
    <t>other amts to raise:</t>
  </si>
  <si>
    <t>Total Available:</t>
  </si>
  <si>
    <r>
      <t>LINE 6 HLTH/</t>
    </r>
    <r>
      <rPr>
        <b/>
        <sz val="9"/>
        <rFont val="Calibri"/>
        <family val="2"/>
        <scheme val="minor"/>
      </rPr>
      <t>HUMN</t>
    </r>
    <r>
      <rPr>
        <b/>
        <sz val="10"/>
        <rFont val="Calibri"/>
        <family val="2"/>
        <scheme val="minor"/>
      </rPr>
      <t xml:space="preserve"> </t>
    </r>
    <r>
      <rPr>
        <b/>
        <sz val="9"/>
        <rFont val="Calibri"/>
        <family val="2"/>
        <scheme val="minor"/>
      </rPr>
      <t>SERV</t>
    </r>
  </si>
  <si>
    <t>Total</t>
  </si>
  <si>
    <t>Comments</t>
  </si>
  <si>
    <t>From FinCom</t>
  </si>
  <si>
    <t>FinCom</t>
  </si>
  <si>
    <t>Budget Analytics</t>
  </si>
  <si>
    <t>Total Municipal Budget:</t>
  </si>
  <si>
    <t>Uses and Sources</t>
  </si>
  <si>
    <t>Prior Year Base Budget (FY17)</t>
  </si>
  <si>
    <t>Recurring Funds</t>
  </si>
  <si>
    <t>Requested</t>
  </si>
  <si>
    <t>Growth of Recurring Revenue
(65%/35% split)</t>
  </si>
  <si>
    <t>FY18 recurring:</t>
  </si>
  <si>
    <t>new Recurring Revenue:</t>
  </si>
  <si>
    <t>New recurring revenue to be split 65% to the Schools and 35% to Municipal</t>
  </si>
  <si>
    <t>Above Level Service Budgets</t>
  </si>
  <si>
    <t>Proposed FY18</t>
  </si>
  <si>
    <t>Snow and Ice:</t>
  </si>
  <si>
    <t>Municipal:</t>
  </si>
  <si>
    <t>Line 4 - Millis Schools:</t>
  </si>
  <si>
    <t>Free Cash in Operating Budgets
(All in Municiple)</t>
  </si>
  <si>
    <t>Reduced $164,650</t>
  </si>
  <si>
    <t>Trailer</t>
  </si>
  <si>
    <t>Total Funds Available:</t>
  </si>
  <si>
    <t>Sources of Funds</t>
  </si>
  <si>
    <t>Change from Requested</t>
  </si>
  <si>
    <t>Warrant Articles</t>
  </si>
  <si>
    <t>Other Amounts To Raise (Reduction from revenue sources)</t>
  </si>
  <si>
    <t>Budgets</t>
  </si>
  <si>
    <t>2+3</t>
  </si>
  <si>
    <t>Police Computer service additional:</t>
  </si>
  <si>
    <t>Total Warrant:</t>
  </si>
  <si>
    <t>4+5</t>
  </si>
  <si>
    <t>Proposed Sources</t>
  </si>
  <si>
    <t>Total Uses:</t>
  </si>
  <si>
    <t>$4K for technology</t>
  </si>
  <si>
    <t>Cut dept. assistant &lt;$20,274&gt;</t>
  </si>
  <si>
    <t>Level Service</t>
  </si>
  <si>
    <t>LS: added back $4,173 For OT</t>
  </si>
  <si>
    <t>LS: added back $1,800 For OT</t>
  </si>
  <si>
    <t>LS: added back $300 For OT</t>
  </si>
  <si>
    <t>FY18 (LS)</t>
  </si>
  <si>
    <t>FY18 (Req)</t>
  </si>
  <si>
    <t>Minimum Level Service</t>
  </si>
  <si>
    <t>Selectmens Request (with above level service amounts)</t>
  </si>
  <si>
    <t>FInCom Variance To Proposed</t>
  </si>
  <si>
    <t>FY17 To FY18 Growth</t>
  </si>
  <si>
    <t>6 Year avg growth</t>
  </si>
  <si>
    <t>Finance Committee Proposed</t>
  </si>
  <si>
    <t>reduced by $2,000</t>
  </si>
  <si>
    <t>reduced by $4,273</t>
  </si>
  <si>
    <t>Includes Resource Officer</t>
  </si>
  <si>
    <t>New Recurring Funds</t>
  </si>
  <si>
    <t>Net Recurring Funds: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</si>
</sst>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&quot;$&quot;#,##0"/>
  </numFmts>
  <fonts count="23" x14ac:knownFonts="1">
    <font>
      <sz val="9"/>
      <name val="Courier"/>
    </font>
    <font>
      <sz val="10"/>
      <name val="MS Sans Serif"/>
      <family val="2"/>
    </font>
    <font>
      <b/>
      <sz val="10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name val="Arial Narrow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sz val="16"/>
      <name val="Calibri"/>
      <family val="2"/>
      <scheme val="minor"/>
    </font>
    <font>
      <b/>
      <i/>
      <sz val="9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sz val="2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auto="1"/>
      </bottom>
      <diagonal/>
    </border>
    <border>
      <left/>
      <right style="medium">
        <color indexed="64"/>
      </right>
      <top/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ashed">
        <color auto="1"/>
      </bottom>
      <diagonal/>
    </border>
    <border>
      <left style="medium">
        <color indexed="64"/>
      </left>
      <right style="medium">
        <color indexed="64"/>
      </right>
      <top/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auto="1"/>
      </top>
      <bottom style="dashed">
        <color indexed="64"/>
      </bottom>
      <diagonal/>
    </border>
    <border>
      <left/>
      <right/>
      <top style="double">
        <color auto="1"/>
      </top>
      <bottom style="dashed">
        <color indexed="64"/>
      </bottom>
      <diagonal/>
    </border>
    <border>
      <left/>
      <right style="medium">
        <color indexed="64"/>
      </right>
      <top style="double">
        <color auto="1"/>
      </top>
      <bottom style="dash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dashed">
        <color indexed="64"/>
      </left>
      <right/>
      <top/>
      <bottom/>
      <diagonal/>
    </border>
  </borders>
  <cellStyleXfs count="3">
    <xf numFmtId="0" fontId="0" fillId="0" borderId="0"/>
    <xf numFmtId="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9">
    <xf numFmtId="0" fontId="0" fillId="0" borderId="0" xfId="0"/>
    <xf numFmtId="3" fontId="6" fillId="0" borderId="0" xfId="0" applyNumberFormat="1" applyFont="1" applyFill="1" applyBorder="1"/>
    <xf numFmtId="0" fontId="7" fillId="0" borderId="0" xfId="0" applyFont="1"/>
    <xf numFmtId="3" fontId="8" fillId="0" borderId="0" xfId="0" applyNumberFormat="1" applyFont="1" applyFill="1" applyBorder="1" applyAlignment="1">
      <alignment horizontal="left"/>
    </xf>
    <xf numFmtId="3" fontId="8" fillId="0" borderId="1" xfId="0" applyNumberFormat="1" applyFont="1" applyFill="1" applyBorder="1" applyAlignment="1">
      <alignment horizontal="left"/>
    </xf>
    <xf numFmtId="3" fontId="6" fillId="0" borderId="0" xfId="0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>
      <alignment horizontal="left"/>
    </xf>
    <xf numFmtId="3" fontId="8" fillId="0" borderId="0" xfId="0" applyNumberFormat="1" applyFont="1" applyFill="1" applyBorder="1"/>
    <xf numFmtId="8" fontId="8" fillId="0" borderId="0" xfId="1" applyNumberFormat="1" applyFont="1" applyFill="1" applyBorder="1" applyAlignment="1">
      <alignment horizontal="left"/>
    </xf>
    <xf numFmtId="8" fontId="6" fillId="0" borderId="0" xfId="1" applyNumberFormat="1" applyFont="1" applyFill="1" applyBorder="1" applyAlignment="1">
      <alignment horizontal="right"/>
    </xf>
    <xf numFmtId="0" fontId="6" fillId="0" borderId="0" xfId="0" applyFont="1" applyFill="1"/>
    <xf numFmtId="3" fontId="10" fillId="0" borderId="0" xfId="0" applyNumberFormat="1" applyFont="1" applyFill="1" applyBorder="1" applyAlignment="1">
      <alignment horizontal="left"/>
    </xf>
    <xf numFmtId="3" fontId="6" fillId="0" borderId="0" xfId="0" quotePrefix="1" applyNumberFormat="1" applyFont="1" applyFill="1" applyBorder="1" applyAlignment="1">
      <alignment horizontal="left"/>
    </xf>
    <xf numFmtId="6" fontId="8" fillId="0" borderId="0" xfId="1" applyNumberFormat="1" applyFont="1" applyFill="1" applyBorder="1" applyAlignment="1">
      <alignment horizontal="center"/>
    </xf>
    <xf numFmtId="165" fontId="8" fillId="0" borderId="0" xfId="1" applyNumberFormat="1" applyFont="1" applyFill="1" applyBorder="1" applyAlignment="1">
      <alignment horizontal="center"/>
    </xf>
    <xf numFmtId="0" fontId="12" fillId="0" borderId="0" xfId="0" applyFont="1"/>
    <xf numFmtId="6" fontId="13" fillId="0" borderId="0" xfId="1" applyNumberFormat="1" applyFont="1" applyFill="1" applyBorder="1" applyAlignment="1">
      <alignment horizontal="left"/>
    </xf>
    <xf numFmtId="6" fontId="12" fillId="0" borderId="0" xfId="1" applyNumberFormat="1" applyFont="1" applyAlignment="1">
      <alignment horizontal="left" indent="1"/>
    </xf>
    <xf numFmtId="6" fontId="12" fillId="0" borderId="0" xfId="1" applyNumberFormat="1" applyFont="1" applyAlignment="1">
      <alignment horizontal="left"/>
    </xf>
    <xf numFmtId="6" fontId="12" fillId="0" borderId="0" xfId="1" applyNumberFormat="1" applyFont="1" applyAlignment="1">
      <alignment horizontal="right"/>
    </xf>
    <xf numFmtId="6" fontId="12" fillId="0" borderId="0" xfId="1" applyNumberFormat="1" applyFont="1" applyFill="1" applyBorder="1" applyAlignment="1">
      <alignment horizontal="right"/>
    </xf>
    <xf numFmtId="6" fontId="13" fillId="0" borderId="0" xfId="1" applyNumberFormat="1" applyFont="1" applyAlignment="1">
      <alignment horizontal="left"/>
    </xf>
    <xf numFmtId="6" fontId="13" fillId="0" borderId="7" xfId="1" applyNumberFormat="1" applyFont="1" applyBorder="1" applyAlignment="1">
      <alignment horizontal="right"/>
    </xf>
    <xf numFmtId="6" fontId="13" fillId="0" borderId="0" xfId="1" applyNumberFormat="1" applyFont="1" applyBorder="1" applyAlignment="1">
      <alignment horizontal="right"/>
    </xf>
    <xf numFmtId="6" fontId="13" fillId="0" borderId="6" xfId="1" applyNumberFormat="1" applyFont="1" applyBorder="1" applyAlignment="1">
      <alignment horizontal="left"/>
    </xf>
    <xf numFmtId="6" fontId="7" fillId="0" borderId="0" xfId="0" applyNumberFormat="1" applyFont="1"/>
    <xf numFmtId="6" fontId="13" fillId="0" borderId="6" xfId="1" applyNumberFormat="1" applyFont="1" applyFill="1" applyBorder="1" applyAlignment="1">
      <alignment horizontal="left"/>
    </xf>
    <xf numFmtId="6" fontId="13" fillId="0" borderId="7" xfId="1" applyNumberFormat="1" applyFont="1" applyFill="1" applyBorder="1" applyAlignment="1">
      <alignment horizontal="right"/>
    </xf>
    <xf numFmtId="0" fontId="12" fillId="0" borderId="0" xfId="0" applyFont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6" fontId="12" fillId="0" borderId="0" xfId="1" applyNumberFormat="1" applyFont="1" applyBorder="1" applyAlignment="1">
      <alignment horizontal="right"/>
    </xf>
    <xf numFmtId="0" fontId="7" fillId="0" borderId="16" xfId="0" applyFont="1" applyBorder="1"/>
    <xf numFmtId="6" fontId="12" fillId="0" borderId="17" xfId="1" applyNumberFormat="1" applyFont="1" applyBorder="1"/>
    <xf numFmtId="0" fontId="7" fillId="0" borderId="18" xfId="0" applyFont="1" applyBorder="1"/>
    <xf numFmtId="6" fontId="12" fillId="0" borderId="19" xfId="1" applyNumberFormat="1" applyFont="1" applyBorder="1"/>
    <xf numFmtId="3" fontId="12" fillId="0" borderId="0" xfId="0" applyNumberFormat="1" applyFont="1" applyFill="1" applyBorder="1" applyAlignment="1">
      <alignment horizontal="right" vertical="center"/>
    </xf>
    <xf numFmtId="6" fontId="12" fillId="0" borderId="0" xfId="1" applyNumberFormat="1" applyFont="1" applyAlignment="1">
      <alignment horizontal="right" vertical="center"/>
    </xf>
    <xf numFmtId="0" fontId="13" fillId="0" borderId="0" xfId="0" applyFont="1" applyBorder="1" applyAlignment="1">
      <alignment horizontal="right"/>
    </xf>
    <xf numFmtId="0" fontId="13" fillId="0" borderId="4" xfId="0" applyFont="1" applyBorder="1" applyAlignment="1">
      <alignment horizontal="right"/>
    </xf>
    <xf numFmtId="0" fontId="7" fillId="0" borderId="27" xfId="0" applyFont="1" applyBorder="1"/>
    <xf numFmtId="0" fontId="13" fillId="0" borderId="28" xfId="0" applyFont="1" applyBorder="1" applyAlignment="1">
      <alignment horizontal="right"/>
    </xf>
    <xf numFmtId="6" fontId="12" fillId="0" borderId="29" xfId="1" applyNumberFormat="1" applyFont="1" applyBorder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right" wrapText="1"/>
    </xf>
    <xf numFmtId="0" fontId="12" fillId="0" borderId="0" xfId="0" applyFont="1" applyAlignment="1">
      <alignment wrapText="1"/>
    </xf>
    <xf numFmtId="3" fontId="18" fillId="0" borderId="0" xfId="0" applyNumberFormat="1" applyFont="1" applyFill="1" applyBorder="1" applyAlignment="1">
      <alignment horizontal="left"/>
    </xf>
    <xf numFmtId="164" fontId="8" fillId="0" borderId="0" xfId="0" applyNumberFormat="1" applyFont="1" applyFill="1" applyBorder="1" applyAlignment="1">
      <alignment horizontal="center"/>
    </xf>
    <xf numFmtId="164" fontId="8" fillId="0" borderId="0" xfId="1" applyNumberFormat="1" applyFont="1" applyFill="1" applyBorder="1" applyAlignment="1">
      <alignment horizontal="center"/>
    </xf>
    <xf numFmtId="4" fontId="8" fillId="0" borderId="0" xfId="1" applyNumberFormat="1" applyFont="1" applyFill="1" applyBorder="1" applyAlignment="1">
      <alignment horizontal="center"/>
    </xf>
    <xf numFmtId="3" fontId="18" fillId="0" borderId="1" xfId="0" applyNumberFormat="1" applyFont="1" applyFill="1" applyBorder="1"/>
    <xf numFmtId="164" fontId="8" fillId="0" borderId="1" xfId="1" applyNumberFormat="1" applyFont="1" applyFill="1" applyBorder="1" applyAlignment="1">
      <alignment horizontal="center"/>
    </xf>
    <xf numFmtId="164" fontId="8" fillId="0" borderId="1" xfId="0" applyNumberFormat="1" applyFont="1" applyFill="1" applyBorder="1" applyAlignment="1">
      <alignment horizontal="center"/>
    </xf>
    <xf numFmtId="4" fontId="8" fillId="0" borderId="1" xfId="0" applyNumberFormat="1" applyFont="1" applyFill="1" applyBorder="1" applyAlignment="1">
      <alignment horizontal="center"/>
    </xf>
    <xf numFmtId="164" fontId="6" fillId="0" borderId="0" xfId="0" applyNumberFormat="1" applyFont="1" applyFill="1"/>
    <xf numFmtId="164" fontId="6" fillId="0" borderId="0" xfId="1" applyNumberFormat="1" applyFont="1" applyFill="1" applyBorder="1"/>
    <xf numFmtId="164" fontId="6" fillId="0" borderId="0" xfId="1" applyNumberFormat="1" applyFont="1" applyFill="1" applyBorder="1" applyAlignment="1">
      <alignment horizontal="center"/>
    </xf>
    <xf numFmtId="164" fontId="6" fillId="0" borderId="0" xfId="0" applyNumberFormat="1" applyFont="1" applyFill="1" applyBorder="1"/>
    <xf numFmtId="4" fontId="6" fillId="0" borderId="0" xfId="0" applyNumberFormat="1" applyFont="1" applyFill="1" applyBorder="1"/>
    <xf numFmtId="164" fontId="6" fillId="0" borderId="0" xfId="1" applyNumberFormat="1" applyFont="1" applyFill="1" applyBorder="1" applyAlignment="1">
      <alignment horizontal="right"/>
    </xf>
    <xf numFmtId="3" fontId="8" fillId="2" borderId="2" xfId="0" applyNumberFormat="1" applyFont="1" applyFill="1" applyBorder="1" applyAlignment="1">
      <alignment horizontal="right"/>
    </xf>
    <xf numFmtId="164" fontId="8" fillId="2" borderId="2" xfId="1" applyNumberFormat="1" applyFont="1" applyFill="1" applyBorder="1" applyAlignment="1">
      <alignment horizontal="right"/>
    </xf>
    <xf numFmtId="164" fontId="6" fillId="0" borderId="0" xfId="1" applyNumberFormat="1" applyFont="1" applyFill="1"/>
    <xf numFmtId="3" fontId="8" fillId="0" borderId="2" xfId="0" applyNumberFormat="1" applyFont="1" applyFill="1" applyBorder="1" applyAlignment="1">
      <alignment horizontal="left"/>
    </xf>
    <xf numFmtId="164" fontId="8" fillId="0" borderId="2" xfId="1" applyNumberFormat="1" applyFont="1" applyFill="1" applyBorder="1" applyAlignment="1">
      <alignment horizontal="right"/>
    </xf>
    <xf numFmtId="164" fontId="8" fillId="3" borderId="2" xfId="1" applyNumberFormat="1" applyFont="1" applyFill="1" applyBorder="1" applyAlignment="1">
      <alignment horizontal="right"/>
    </xf>
    <xf numFmtId="164" fontId="6" fillId="0" borderId="1" xfId="0" applyNumberFormat="1" applyFont="1" applyFill="1" applyBorder="1"/>
    <xf numFmtId="164" fontId="6" fillId="0" borderId="1" xfId="1" applyNumberFormat="1" applyFont="1" applyFill="1" applyBorder="1"/>
    <xf numFmtId="3" fontId="6" fillId="0" borderId="3" xfId="0" applyNumberFormat="1" applyFont="1" applyFill="1" applyBorder="1"/>
    <xf numFmtId="3" fontId="6" fillId="0" borderId="2" xfId="0" applyNumberFormat="1" applyFont="1" applyFill="1" applyBorder="1" applyAlignment="1">
      <alignment horizontal="right"/>
    </xf>
    <xf numFmtId="164" fontId="6" fillId="0" borderId="2" xfId="0" applyNumberFormat="1" applyFont="1" applyFill="1" applyBorder="1"/>
    <xf numFmtId="164" fontId="6" fillId="0" borderId="2" xfId="1" applyNumberFormat="1" applyFont="1" applyFill="1" applyBorder="1"/>
    <xf numFmtId="164" fontId="8" fillId="0" borderId="3" xfId="1" applyNumberFormat="1" applyFont="1" applyFill="1" applyBorder="1" applyAlignment="1">
      <alignment horizontal="right"/>
    </xf>
    <xf numFmtId="164" fontId="8" fillId="0" borderId="3" xfId="1" applyNumberFormat="1" applyFont="1" applyFill="1" applyBorder="1" applyAlignment="1"/>
    <xf numFmtId="164" fontId="8" fillId="0" borderId="0" xfId="1" applyNumberFormat="1" applyFont="1" applyFill="1" applyBorder="1" applyAlignment="1">
      <alignment horizontal="right"/>
    </xf>
    <xf numFmtId="164" fontId="8" fillId="0" borderId="0" xfId="1" applyNumberFormat="1" applyFont="1" applyFill="1" applyBorder="1" applyAlignment="1"/>
    <xf numFmtId="164" fontId="8" fillId="0" borderId="0" xfId="1" applyNumberFormat="1" applyFont="1" applyFill="1"/>
    <xf numFmtId="164" fontId="7" fillId="0" borderId="0" xfId="1" applyNumberFormat="1" applyFont="1" applyFill="1"/>
    <xf numFmtId="164" fontId="8" fillId="0" borderId="0" xfId="0" applyNumberFormat="1" applyFont="1" applyFill="1" applyBorder="1"/>
    <xf numFmtId="4" fontId="8" fillId="0" borderId="0" xfId="0" applyNumberFormat="1" applyFont="1" applyFill="1" applyBorder="1"/>
    <xf numFmtId="164" fontId="19" fillId="0" borderId="0" xfId="0" applyNumberFormat="1" applyFont="1" applyFill="1" applyBorder="1"/>
    <xf numFmtId="4" fontId="19" fillId="0" borderId="0" xfId="0" applyNumberFormat="1" applyFont="1" applyFill="1" applyBorder="1"/>
    <xf numFmtId="164" fontId="8" fillId="0" borderId="0" xfId="1" applyNumberFormat="1" applyFont="1" applyFill="1" applyAlignment="1">
      <alignment horizontal="center"/>
    </xf>
    <xf numFmtId="164" fontId="8" fillId="0" borderId="0" xfId="0" applyNumberFormat="1" applyFont="1" applyFill="1" applyAlignment="1"/>
    <xf numFmtId="164" fontId="8" fillId="0" borderId="0" xfId="1" applyNumberFormat="1" applyFont="1" applyFill="1" applyAlignment="1"/>
    <xf numFmtId="164" fontId="8" fillId="0" borderId="0" xfId="0" applyNumberFormat="1" applyFont="1" applyFill="1"/>
    <xf numFmtId="164" fontId="6" fillId="0" borderId="0" xfId="1" quotePrefix="1" applyNumberFormat="1" applyFont="1" applyFill="1" applyBorder="1" applyAlignment="1">
      <alignment horizontal="center"/>
    </xf>
    <xf numFmtId="164" fontId="6" fillId="0" borderId="0" xfId="1" applyNumberFormat="1" applyFont="1" applyFill="1" applyBorder="1" applyProtection="1">
      <protection hidden="1"/>
    </xf>
    <xf numFmtId="0" fontId="6" fillId="0" borderId="0" xfId="0" applyNumberFormat="1" applyFont="1" applyFill="1" applyBorder="1"/>
    <xf numFmtId="164" fontId="8" fillId="0" borderId="0" xfId="2" applyNumberFormat="1" applyFont="1" applyFill="1" applyBorder="1" applyAlignment="1">
      <alignment horizontal="right"/>
    </xf>
    <xf numFmtId="164" fontId="8" fillId="0" borderId="0" xfId="1" applyNumberFormat="1" applyFont="1" applyFill="1" applyBorder="1" applyAlignment="1" applyProtection="1">
      <alignment horizontal="right"/>
      <protection locked="0"/>
    </xf>
    <xf numFmtId="4" fontId="6" fillId="0" borderId="0" xfId="0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vertical="center"/>
    </xf>
    <xf numFmtId="164" fontId="6" fillId="0" borderId="0" xfId="0" applyNumberFormat="1" applyFont="1" applyFill="1" applyBorder="1" applyAlignment="1">
      <alignment vertical="center"/>
    </xf>
    <xf numFmtId="164" fontId="20" fillId="0" borderId="0" xfId="0" applyNumberFormat="1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0" fontId="7" fillId="3" borderId="0" xfId="0" applyFont="1" applyFill="1"/>
    <xf numFmtId="3" fontId="6" fillId="3" borderId="0" xfId="0" applyNumberFormat="1" applyFont="1" applyFill="1" applyBorder="1"/>
    <xf numFmtId="6" fontId="6" fillId="3" borderId="0" xfId="1" applyNumberFormat="1" applyFont="1" applyFill="1"/>
    <xf numFmtId="0" fontId="6" fillId="3" borderId="0" xfId="0" applyFont="1" applyFill="1"/>
    <xf numFmtId="3" fontId="8" fillId="3" borderId="0" xfId="0" applyNumberFormat="1" applyFont="1" applyFill="1" applyBorder="1" applyAlignment="1">
      <alignment horizontal="left"/>
    </xf>
    <xf numFmtId="6" fontId="8" fillId="3" borderId="0" xfId="1" applyNumberFormat="1" applyFont="1" applyFill="1" applyBorder="1" applyAlignment="1">
      <alignment horizontal="center"/>
    </xf>
    <xf numFmtId="6" fontId="8" fillId="3" borderId="20" xfId="1" applyNumberFormat="1" applyFont="1" applyFill="1" applyBorder="1" applyAlignment="1">
      <alignment horizontal="center"/>
    </xf>
    <xf numFmtId="4" fontId="8" fillId="3" borderId="0" xfId="1" applyNumberFormat="1" applyFont="1" applyFill="1" applyBorder="1" applyAlignment="1">
      <alignment horizontal="center"/>
    </xf>
    <xf numFmtId="3" fontId="6" fillId="3" borderId="0" xfId="0" applyNumberFormat="1" applyFont="1" applyFill="1" applyBorder="1" applyAlignment="1">
      <alignment horizontal="left"/>
    </xf>
    <xf numFmtId="6" fontId="11" fillId="3" borderId="0" xfId="1" applyNumberFormat="1" applyFont="1" applyFill="1"/>
    <xf numFmtId="6" fontId="11" fillId="3" borderId="22" xfId="1" applyNumberFormat="1" applyFont="1" applyFill="1" applyBorder="1"/>
    <xf numFmtId="3" fontId="6" fillId="3" borderId="0" xfId="0" applyNumberFormat="1" applyFont="1" applyFill="1" applyBorder="1" applyAlignment="1">
      <alignment horizontal="left" indent="4"/>
    </xf>
    <xf numFmtId="3" fontId="6" fillId="3" borderId="1" xfId="0" applyNumberFormat="1" applyFont="1" applyFill="1" applyBorder="1" applyAlignment="1">
      <alignment horizontal="left" indent="4"/>
    </xf>
    <xf numFmtId="6" fontId="11" fillId="3" borderId="1" xfId="1" applyNumberFormat="1" applyFont="1" applyFill="1" applyBorder="1"/>
    <xf numFmtId="6" fontId="11" fillId="3" borderId="21" xfId="1" applyNumberFormat="1" applyFont="1" applyFill="1" applyBorder="1"/>
    <xf numFmtId="6" fontId="11" fillId="3" borderId="0" xfId="1" applyNumberFormat="1" applyFont="1" applyFill="1" applyBorder="1"/>
    <xf numFmtId="6" fontId="7" fillId="3" borderId="0" xfId="0" applyNumberFormat="1" applyFont="1" applyFill="1"/>
    <xf numFmtId="10" fontId="11" fillId="3" borderId="0" xfId="2" applyNumberFormat="1" applyFont="1" applyFill="1"/>
    <xf numFmtId="10" fontId="6" fillId="3" borderId="0" xfId="2" applyNumberFormat="1" applyFont="1" applyFill="1"/>
    <xf numFmtId="9" fontId="7" fillId="3" borderId="0" xfId="2" applyFont="1" applyFill="1"/>
    <xf numFmtId="0" fontId="7" fillId="3" borderId="0" xfId="0" applyFont="1" applyFill="1" applyBorder="1"/>
    <xf numFmtId="6" fontId="11" fillId="3" borderId="8" xfId="1" applyNumberFormat="1" applyFont="1" applyFill="1" applyBorder="1"/>
    <xf numFmtId="6" fontId="11" fillId="3" borderId="23" xfId="1" applyNumberFormat="1" applyFont="1" applyFill="1" applyBorder="1"/>
    <xf numFmtId="3" fontId="6" fillId="3" borderId="4" xfId="0" applyNumberFormat="1" applyFont="1" applyFill="1" applyBorder="1" applyAlignment="1">
      <alignment horizontal="left"/>
    </xf>
    <xf numFmtId="6" fontId="11" fillId="3" borderId="4" xfId="1" applyNumberFormat="1" applyFont="1" applyFill="1" applyBorder="1"/>
    <xf numFmtId="6" fontId="11" fillId="3" borderId="24" xfId="1" applyNumberFormat="1" applyFont="1" applyFill="1" applyBorder="1"/>
    <xf numFmtId="3" fontId="8" fillId="3" borderId="4" xfId="0" applyNumberFormat="1" applyFont="1" applyFill="1" applyBorder="1"/>
    <xf numFmtId="6" fontId="8" fillId="3" borderId="4" xfId="1" applyNumberFormat="1" applyFont="1" applyFill="1" applyBorder="1"/>
    <xf numFmtId="6" fontId="8" fillId="3" borderId="24" xfId="1" applyNumberFormat="1" applyFont="1" applyFill="1" applyBorder="1"/>
    <xf numFmtId="6" fontId="9" fillId="3" borderId="0" xfId="0" applyNumberFormat="1" applyFont="1" applyFill="1"/>
    <xf numFmtId="0" fontId="9" fillId="3" borderId="0" xfId="0" applyFont="1" applyFill="1"/>
    <xf numFmtId="3" fontId="6" fillId="3" borderId="0" xfId="0" applyNumberFormat="1" applyFont="1" applyFill="1" applyBorder="1" applyAlignment="1">
      <alignment horizontal="right"/>
    </xf>
    <xf numFmtId="6" fontId="6" fillId="3" borderId="0" xfId="2" applyNumberFormat="1" applyFont="1" applyFill="1"/>
    <xf numFmtId="6" fontId="6" fillId="3" borderId="22" xfId="2" applyNumberFormat="1" applyFont="1" applyFill="1" applyBorder="1"/>
    <xf numFmtId="10" fontId="11" fillId="3" borderId="22" xfId="2" applyNumberFormat="1" applyFont="1" applyFill="1" applyBorder="1"/>
    <xf numFmtId="6" fontId="6" fillId="3" borderId="22" xfId="1" applyNumberFormat="1" applyFont="1" applyFill="1" applyBorder="1"/>
    <xf numFmtId="3" fontId="8" fillId="3" borderId="4" xfId="0" applyNumberFormat="1" applyFont="1" applyFill="1" applyBorder="1" applyAlignment="1">
      <alignment horizontal="left"/>
    </xf>
    <xf numFmtId="9" fontId="11" fillId="3" borderId="0" xfId="2" applyFont="1" applyFill="1"/>
    <xf numFmtId="9" fontId="11" fillId="3" borderId="22" xfId="2" applyFont="1" applyFill="1" applyBorder="1"/>
    <xf numFmtId="3" fontId="8" fillId="3" borderId="5" xfId="0" applyNumberFormat="1" applyFont="1" applyFill="1" applyBorder="1" applyAlignment="1">
      <alignment horizontal="left"/>
    </xf>
    <xf numFmtId="6" fontId="8" fillId="3" borderId="5" xfId="1" applyNumberFormat="1" applyFont="1" applyFill="1" applyBorder="1"/>
    <xf numFmtId="6" fontId="8" fillId="3" borderId="25" xfId="1" applyNumberFormat="1" applyFont="1" applyFill="1" applyBorder="1"/>
    <xf numFmtId="3" fontId="8" fillId="3" borderId="0" xfId="0" applyNumberFormat="1" applyFont="1" applyFill="1" applyBorder="1" applyAlignment="1">
      <alignment horizontal="right"/>
    </xf>
    <xf numFmtId="6" fontId="6" fillId="3" borderId="0" xfId="1" applyNumberFormat="1" applyFont="1" applyFill="1" applyBorder="1" applyAlignment="1">
      <alignment horizontal="right"/>
    </xf>
    <xf numFmtId="6" fontId="6" fillId="3" borderId="0" xfId="1" applyNumberFormat="1" applyFont="1" applyFill="1" applyBorder="1"/>
    <xf numFmtId="3" fontId="8" fillId="3" borderId="4" xfId="0" applyNumberFormat="1" applyFont="1" applyFill="1" applyBorder="1" applyAlignment="1">
      <alignment horizontal="right"/>
    </xf>
    <xf numFmtId="3" fontId="8" fillId="3" borderId="0" xfId="0" applyNumberFormat="1" applyFont="1" applyFill="1" applyBorder="1"/>
    <xf numFmtId="3" fontId="8" fillId="3" borderId="6" xfId="0" applyNumberFormat="1" applyFont="1" applyFill="1" applyBorder="1"/>
    <xf numFmtId="6" fontId="6" fillId="3" borderId="7" xfId="1" applyNumberFormat="1" applyFont="1" applyFill="1" applyBorder="1"/>
    <xf numFmtId="6" fontId="6" fillId="3" borderId="9" xfId="1" applyNumberFormat="1" applyFont="1" applyFill="1" applyBorder="1"/>
    <xf numFmtId="10" fontId="6" fillId="3" borderId="26" xfId="2" applyNumberFormat="1" applyFont="1" applyFill="1" applyBorder="1"/>
    <xf numFmtId="3" fontId="6" fillId="3" borderId="10" xfId="0" applyNumberFormat="1" applyFont="1" applyFill="1" applyBorder="1"/>
    <xf numFmtId="6" fontId="6" fillId="3" borderId="11" xfId="1" applyNumberFormat="1" applyFont="1" applyFill="1" applyBorder="1"/>
    <xf numFmtId="6" fontId="6" fillId="3" borderId="12" xfId="1" applyNumberFormat="1" applyFont="1" applyFill="1" applyBorder="1"/>
    <xf numFmtId="3" fontId="6" fillId="3" borderId="13" xfId="0" applyNumberFormat="1" applyFont="1" applyFill="1" applyBorder="1"/>
    <xf numFmtId="6" fontId="6" fillId="3" borderId="14" xfId="1" applyNumberFormat="1" applyFont="1" applyFill="1" applyBorder="1"/>
    <xf numFmtId="6" fontId="6" fillId="3" borderId="15" xfId="1" applyNumberFormat="1" applyFont="1" applyFill="1" applyBorder="1"/>
    <xf numFmtId="8" fontId="8" fillId="3" borderId="0" xfId="1" applyNumberFormat="1" applyFont="1" applyFill="1" applyBorder="1" applyAlignment="1">
      <alignment horizontal="left"/>
    </xf>
    <xf numFmtId="8" fontId="6" fillId="3" borderId="0" xfId="1" applyNumberFormat="1" applyFont="1" applyFill="1" applyBorder="1" applyAlignment="1">
      <alignment horizontal="right"/>
    </xf>
    <xf numFmtId="3" fontId="10" fillId="3" borderId="0" xfId="0" applyNumberFormat="1" applyFont="1" applyFill="1" applyBorder="1" applyAlignment="1">
      <alignment horizontal="left"/>
    </xf>
    <xf numFmtId="3" fontId="6" fillId="3" borderId="0" xfId="0" quotePrefix="1" applyNumberFormat="1" applyFont="1" applyFill="1" applyBorder="1" applyAlignment="1">
      <alignment horizontal="left"/>
    </xf>
    <xf numFmtId="10" fontId="8" fillId="3" borderId="0" xfId="2" applyNumberFormat="1" applyFont="1" applyFill="1" applyBorder="1" applyAlignment="1">
      <alignment horizontal="center"/>
    </xf>
    <xf numFmtId="10" fontId="11" fillId="3" borderId="1" xfId="2" applyNumberFormat="1" applyFont="1" applyFill="1" applyBorder="1"/>
    <xf numFmtId="10" fontId="11" fillId="3" borderId="0" xfId="2" applyNumberFormat="1" applyFont="1" applyFill="1" applyBorder="1"/>
    <xf numFmtId="10" fontId="11" fillId="3" borderId="8" xfId="2" applyNumberFormat="1" applyFont="1" applyFill="1" applyBorder="1"/>
    <xf numFmtId="10" fontId="11" fillId="3" borderId="4" xfId="2" applyNumberFormat="1" applyFont="1" applyFill="1" applyBorder="1"/>
    <xf numFmtId="10" fontId="8" fillId="3" borderId="4" xfId="2" applyNumberFormat="1" applyFont="1" applyFill="1" applyBorder="1"/>
    <xf numFmtId="10" fontId="8" fillId="3" borderId="5" xfId="2" applyNumberFormat="1" applyFont="1" applyFill="1" applyBorder="1"/>
    <xf numFmtId="10" fontId="6" fillId="3" borderId="0" xfId="2" applyNumberFormat="1" applyFont="1" applyFill="1" applyBorder="1"/>
    <xf numFmtId="10" fontId="6" fillId="3" borderId="7" xfId="2" applyNumberFormat="1" applyFont="1" applyFill="1" applyBorder="1"/>
    <xf numFmtId="4" fontId="6" fillId="0" borderId="0" xfId="0" applyNumberFormat="1" applyFont="1" applyFill="1" applyBorder="1" applyAlignment="1">
      <alignment horizontal="center"/>
    </xf>
    <xf numFmtId="164" fontId="6" fillId="3" borderId="0" xfId="0" applyNumberFormat="1" applyFont="1" applyFill="1" applyBorder="1" applyAlignment="1">
      <alignment horizontal="center"/>
    </xf>
    <xf numFmtId="164" fontId="8" fillId="3" borderId="0" xfId="1" applyNumberFormat="1" applyFont="1" applyFill="1" applyBorder="1" applyAlignment="1">
      <alignment horizontal="center"/>
    </xf>
    <xf numFmtId="164" fontId="6" fillId="3" borderId="0" xfId="1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164" fontId="6" fillId="0" borderId="1" xfId="1" applyNumberFormat="1" applyFont="1" applyFill="1" applyBorder="1" applyAlignment="1">
      <alignment horizontal="center"/>
    </xf>
    <xf numFmtId="164" fontId="20" fillId="0" borderId="0" xfId="1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3" fontId="8" fillId="0" borderId="0" xfId="0" applyNumberFormat="1" applyFont="1" applyFill="1" applyBorder="1" applyAlignment="1">
      <alignment horizontal="left" vertical="center"/>
    </xf>
    <xf numFmtId="164" fontId="20" fillId="0" borderId="0" xfId="0" applyNumberFormat="1" applyFont="1" applyFill="1" applyBorder="1" applyAlignment="1">
      <alignment horizontal="left" vertical="center" wrapText="1"/>
    </xf>
    <xf numFmtId="164" fontId="6" fillId="0" borderId="0" xfId="1" applyNumberFormat="1" applyFont="1" applyFill="1" applyBorder="1" applyAlignment="1">
      <alignment horizontal="right" vertical="center"/>
    </xf>
    <xf numFmtId="164" fontId="6" fillId="0" borderId="0" xfId="0" applyNumberFormat="1" applyFont="1" applyFill="1" applyBorder="1" applyAlignment="1">
      <alignment horizontal="right" vertical="center"/>
    </xf>
    <xf numFmtId="164" fontId="20" fillId="0" borderId="0" xfId="0" quotePrefix="1" applyNumberFormat="1" applyFont="1" applyFill="1" applyBorder="1" applyAlignment="1">
      <alignment horizontal="left" vertical="center" wrapText="1"/>
    </xf>
    <xf numFmtId="165" fontId="12" fillId="0" borderId="0" xfId="0" applyNumberFormat="1" applyFont="1"/>
    <xf numFmtId="0" fontId="12" fillId="0" borderId="14" xfId="0" applyFont="1" applyBorder="1"/>
    <xf numFmtId="165" fontId="12" fillId="0" borderId="14" xfId="0" applyNumberFormat="1" applyFont="1" applyBorder="1"/>
    <xf numFmtId="10" fontId="12" fillId="0" borderId="0" xfId="2" applyNumberFormat="1" applyFont="1"/>
    <xf numFmtId="6" fontId="12" fillId="0" borderId="0" xfId="0" applyNumberFormat="1" applyFont="1" applyAlignment="1">
      <alignment horizontal="right"/>
    </xf>
    <xf numFmtId="6" fontId="12" fillId="4" borderId="22" xfId="1" applyNumberFormat="1" applyFont="1" applyFill="1" applyBorder="1" applyAlignment="1">
      <alignment horizontal="right"/>
    </xf>
    <xf numFmtId="6" fontId="13" fillId="4" borderId="9" xfId="1" applyNumberFormat="1" applyFont="1" applyFill="1" applyBorder="1" applyAlignment="1">
      <alignment horizontal="right"/>
    </xf>
    <xf numFmtId="6" fontId="12" fillId="4" borderId="22" xfId="1" applyNumberFormat="1" applyFont="1" applyFill="1" applyBorder="1" applyAlignment="1">
      <alignment horizontal="right" vertical="center"/>
    </xf>
    <xf numFmtId="164" fontId="20" fillId="3" borderId="0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vertical="center"/>
    </xf>
    <xf numFmtId="6" fontId="13" fillId="3" borderId="30" xfId="1" applyNumberFormat="1" applyFont="1" applyFill="1" applyBorder="1" applyAlignment="1">
      <alignment horizontal="left" wrapText="1"/>
    </xf>
    <xf numFmtId="6" fontId="13" fillId="3" borderId="30" xfId="1" applyNumberFormat="1" applyFont="1" applyFill="1" applyBorder="1" applyAlignment="1">
      <alignment horizontal="center" wrapText="1"/>
    </xf>
    <xf numFmtId="6" fontId="13" fillId="3" borderId="31" xfId="1" applyNumberFormat="1" applyFont="1" applyFill="1" applyBorder="1" applyAlignment="1">
      <alignment horizontal="center" wrapText="1"/>
    </xf>
    <xf numFmtId="6" fontId="22" fillId="3" borderId="32" xfId="1" applyNumberFormat="1" applyFont="1" applyFill="1" applyBorder="1" applyAlignment="1">
      <alignment horizontal="center" wrapText="1"/>
    </xf>
    <xf numFmtId="0" fontId="12" fillId="0" borderId="0" xfId="0" applyFont="1" applyAlignment="1">
      <alignment horizontal="left" indent="1"/>
    </xf>
    <xf numFmtId="0" fontId="12" fillId="0" borderId="0" xfId="0" applyFont="1" applyBorder="1" applyAlignment="1">
      <alignment horizontal="left" indent="1"/>
    </xf>
    <xf numFmtId="6" fontId="13" fillId="0" borderId="7" xfId="1" applyNumberFormat="1" applyFont="1" applyFill="1" applyBorder="1" applyAlignment="1">
      <alignment horizontal="center"/>
    </xf>
    <xf numFmtId="6" fontId="13" fillId="0" borderId="7" xfId="1" applyNumberFormat="1" applyFont="1" applyFill="1" applyBorder="1" applyAlignment="1">
      <alignment horizontal="center" wrapText="1"/>
    </xf>
    <xf numFmtId="6" fontId="13" fillId="4" borderId="9" xfId="1" applyNumberFormat="1" applyFont="1" applyFill="1" applyBorder="1" applyAlignment="1">
      <alignment horizontal="center" wrapText="1"/>
    </xf>
    <xf numFmtId="6" fontId="12" fillId="0" borderId="33" xfId="1" applyNumberFormat="1" applyFont="1" applyBorder="1" applyAlignment="1">
      <alignment horizontal="right"/>
    </xf>
    <xf numFmtId="6" fontId="12" fillId="0" borderId="34" xfId="1" applyNumberFormat="1" applyFont="1" applyBorder="1" applyAlignment="1">
      <alignment horizontal="right"/>
    </xf>
    <xf numFmtId="6" fontId="12" fillId="0" borderId="35" xfId="1" applyNumberFormat="1" applyFont="1" applyBorder="1" applyAlignment="1">
      <alignment horizontal="right"/>
    </xf>
    <xf numFmtId="6" fontId="19" fillId="3" borderId="39" xfId="1" applyNumberFormat="1" applyFont="1" applyFill="1" applyBorder="1" applyAlignment="1">
      <alignment horizontal="center" wrapText="1"/>
    </xf>
    <xf numFmtId="6" fontId="19" fillId="3" borderId="40" xfId="1" applyNumberFormat="1" applyFont="1" applyFill="1" applyBorder="1" applyAlignment="1">
      <alignment horizontal="center"/>
    </xf>
    <xf numFmtId="6" fontId="13" fillId="0" borderId="41" xfId="1" applyNumberFormat="1" applyFont="1" applyFill="1" applyBorder="1" applyAlignment="1">
      <alignment horizontal="center"/>
    </xf>
    <xf numFmtId="6" fontId="12" fillId="0" borderId="33" xfId="1" applyNumberFormat="1" applyFont="1" applyFill="1" applyBorder="1" applyAlignment="1">
      <alignment horizontal="right"/>
    </xf>
    <xf numFmtId="6" fontId="14" fillId="0" borderId="34" xfId="1" applyNumberFormat="1" applyFont="1" applyBorder="1" applyAlignment="1">
      <alignment horizontal="right"/>
    </xf>
    <xf numFmtId="6" fontId="14" fillId="0" borderId="35" xfId="1" applyNumberFormat="1" applyFont="1" applyBorder="1" applyAlignment="1">
      <alignment horizontal="right"/>
    </xf>
    <xf numFmtId="0" fontId="7" fillId="0" borderId="34" xfId="0" applyFont="1" applyBorder="1"/>
    <xf numFmtId="6" fontId="13" fillId="0" borderId="36" xfId="1" applyNumberFormat="1" applyFont="1" applyBorder="1" applyAlignment="1">
      <alignment horizontal="right"/>
    </xf>
    <xf numFmtId="6" fontId="13" fillId="0" borderId="37" xfId="1" applyNumberFormat="1" applyFont="1" applyBorder="1" applyAlignment="1">
      <alignment horizontal="right"/>
    </xf>
    <xf numFmtId="6" fontId="13" fillId="0" borderId="38" xfId="1" applyNumberFormat="1" applyFont="1" applyBorder="1" applyAlignment="1">
      <alignment horizontal="right"/>
    </xf>
    <xf numFmtId="6" fontId="13" fillId="0" borderId="36" xfId="1" applyNumberFormat="1" applyFont="1" applyFill="1" applyBorder="1" applyAlignment="1">
      <alignment horizontal="right"/>
    </xf>
    <xf numFmtId="6" fontId="13" fillId="0" borderId="37" xfId="1" applyNumberFormat="1" applyFont="1" applyFill="1" applyBorder="1" applyAlignment="1">
      <alignment horizontal="right"/>
    </xf>
    <xf numFmtId="6" fontId="13" fillId="0" borderId="38" xfId="1" applyNumberFormat="1" applyFont="1" applyFill="1" applyBorder="1" applyAlignment="1">
      <alignment horizontal="right"/>
    </xf>
    <xf numFmtId="6" fontId="12" fillId="0" borderId="33" xfId="1" applyNumberFormat="1" applyFont="1" applyBorder="1" applyAlignment="1">
      <alignment horizontal="right" vertical="center"/>
    </xf>
    <xf numFmtId="6" fontId="12" fillId="0" borderId="34" xfId="1" applyNumberFormat="1" applyFont="1" applyBorder="1" applyAlignment="1">
      <alignment horizontal="right" vertical="center"/>
    </xf>
    <xf numFmtId="6" fontId="12" fillId="0" borderId="35" xfId="1" applyNumberFormat="1" applyFont="1" applyBorder="1" applyAlignment="1">
      <alignment horizontal="right" vertical="center"/>
    </xf>
    <xf numFmtId="6" fontId="12" fillId="0" borderId="35" xfId="1" applyNumberFormat="1" applyFont="1" applyBorder="1" applyAlignment="1">
      <alignment horizontal="left"/>
    </xf>
    <xf numFmtId="6" fontId="13" fillId="3" borderId="42" xfId="1" applyNumberFormat="1" applyFont="1" applyFill="1" applyBorder="1" applyAlignment="1">
      <alignment horizontal="center" wrapText="1"/>
    </xf>
    <xf numFmtId="6" fontId="13" fillId="3" borderId="40" xfId="1" applyNumberFormat="1" applyFont="1" applyFill="1" applyBorder="1" applyAlignment="1">
      <alignment horizontal="center" wrapText="1"/>
    </xf>
    <xf numFmtId="6" fontId="13" fillId="3" borderId="43" xfId="1" applyNumberFormat="1" applyFont="1" applyFill="1" applyBorder="1" applyAlignment="1">
      <alignment horizontal="center" wrapText="1"/>
    </xf>
    <xf numFmtId="6" fontId="12" fillId="0" borderId="44" xfId="1" applyNumberFormat="1" applyFont="1" applyFill="1" applyBorder="1" applyAlignment="1">
      <alignment horizontal="right"/>
    </xf>
    <xf numFmtId="6" fontId="12" fillId="0" borderId="34" xfId="1" applyNumberFormat="1" applyFont="1" applyFill="1" applyBorder="1" applyAlignment="1">
      <alignment horizontal="right"/>
    </xf>
    <xf numFmtId="6" fontId="12" fillId="0" borderId="45" xfId="1" applyNumberFormat="1" applyFont="1" applyFill="1" applyBorder="1" applyAlignment="1">
      <alignment horizontal="right"/>
    </xf>
    <xf numFmtId="6" fontId="12" fillId="0" borderId="44" xfId="1" applyNumberFormat="1" applyFont="1" applyBorder="1" applyAlignment="1">
      <alignment horizontal="right"/>
    </xf>
    <xf numFmtId="6" fontId="12" fillId="0" borderId="45" xfId="1" applyNumberFormat="1" applyFont="1" applyBorder="1" applyAlignment="1">
      <alignment horizontal="right"/>
    </xf>
    <xf numFmtId="6" fontId="13" fillId="0" borderId="46" xfId="1" applyNumberFormat="1" applyFont="1" applyBorder="1" applyAlignment="1">
      <alignment horizontal="right"/>
    </xf>
    <xf numFmtId="6" fontId="13" fillId="0" borderId="47" xfId="1" applyNumberFormat="1" applyFont="1" applyBorder="1" applyAlignment="1">
      <alignment horizontal="right"/>
    </xf>
    <xf numFmtId="6" fontId="13" fillId="0" borderId="46" xfId="1" applyNumberFormat="1" applyFont="1" applyFill="1" applyBorder="1" applyAlignment="1">
      <alignment horizontal="right"/>
    </xf>
    <xf numFmtId="6" fontId="13" fillId="0" borderId="47" xfId="1" applyNumberFormat="1" applyFont="1" applyFill="1" applyBorder="1" applyAlignment="1">
      <alignment horizontal="right"/>
    </xf>
    <xf numFmtId="6" fontId="12" fillId="0" borderId="44" xfId="1" applyNumberFormat="1" applyFont="1" applyBorder="1" applyAlignment="1">
      <alignment horizontal="right" vertical="center"/>
    </xf>
    <xf numFmtId="6" fontId="12" fillId="0" borderId="45" xfId="1" applyNumberFormat="1" applyFont="1" applyBorder="1" applyAlignment="1">
      <alignment horizontal="right" vertical="center"/>
    </xf>
    <xf numFmtId="6" fontId="13" fillId="0" borderId="0" xfId="1" applyNumberFormat="1" applyFont="1" applyBorder="1" applyAlignment="1">
      <alignment horizontal="left"/>
    </xf>
    <xf numFmtId="6" fontId="13" fillId="0" borderId="44" xfId="1" applyNumberFormat="1" applyFont="1" applyBorder="1" applyAlignment="1">
      <alignment horizontal="right"/>
    </xf>
    <xf numFmtId="6" fontId="13" fillId="0" borderId="34" xfId="1" applyNumberFormat="1" applyFont="1" applyBorder="1" applyAlignment="1">
      <alignment horizontal="right"/>
    </xf>
    <xf numFmtId="6" fontId="13" fillId="0" borderId="45" xfId="1" applyNumberFormat="1" applyFont="1" applyBorder="1" applyAlignment="1">
      <alignment horizontal="right"/>
    </xf>
    <xf numFmtId="6" fontId="13" fillId="4" borderId="22" xfId="1" applyNumberFormat="1" applyFont="1" applyFill="1" applyBorder="1" applyAlignment="1">
      <alignment horizontal="right"/>
    </xf>
    <xf numFmtId="6" fontId="13" fillId="0" borderId="33" xfId="1" applyNumberFormat="1" applyFont="1" applyBorder="1" applyAlignment="1">
      <alignment horizontal="right"/>
    </xf>
    <xf numFmtId="6" fontId="13" fillId="0" borderId="35" xfId="1" applyNumberFormat="1" applyFont="1" applyBorder="1" applyAlignment="1">
      <alignment horizontal="right"/>
    </xf>
    <xf numFmtId="0" fontId="9" fillId="3" borderId="0" xfId="0" applyFont="1" applyFill="1" applyAlignment="1">
      <alignment horizontal="center"/>
    </xf>
    <xf numFmtId="6" fontId="12" fillId="3" borderId="0" xfId="1" applyNumberFormat="1" applyFont="1" applyFill="1" applyBorder="1" applyAlignment="1">
      <alignment horizontal="left"/>
    </xf>
    <xf numFmtId="6" fontId="12" fillId="3" borderId="0" xfId="1" applyNumberFormat="1" applyFont="1" applyFill="1" applyBorder="1" applyAlignment="1">
      <alignment horizontal="right"/>
    </xf>
    <xf numFmtId="0" fontId="12" fillId="3" borderId="0" xfId="0" applyFont="1" applyFill="1" applyAlignment="1">
      <alignment horizontal="right"/>
    </xf>
    <xf numFmtId="0" fontId="12" fillId="3" borderId="0" xfId="0" applyFont="1" applyFill="1"/>
    <xf numFmtId="6" fontId="12" fillId="0" borderId="48" xfId="1" applyNumberFormat="1" applyFont="1" applyBorder="1" applyAlignment="1">
      <alignment horizontal="right"/>
    </xf>
    <xf numFmtId="6" fontId="12" fillId="0" borderId="49" xfId="1" applyNumberFormat="1" applyFont="1" applyBorder="1" applyAlignment="1">
      <alignment horizontal="right"/>
    </xf>
    <xf numFmtId="6" fontId="12" fillId="0" borderId="50" xfId="1" applyNumberFormat="1" applyFont="1" applyBorder="1" applyAlignment="1">
      <alignment horizontal="right"/>
    </xf>
    <xf numFmtId="6" fontId="12" fillId="0" borderId="51" xfId="1" applyNumberFormat="1" applyFont="1" applyBorder="1" applyAlignment="1">
      <alignment horizontal="right"/>
    </xf>
    <xf numFmtId="6" fontId="12" fillId="0" borderId="52" xfId="1" applyNumberFormat="1" applyFont="1" applyBorder="1" applyAlignment="1">
      <alignment horizontal="right"/>
    </xf>
    <xf numFmtId="6" fontId="12" fillId="0" borderId="53" xfId="1" applyNumberFormat="1" applyFont="1" applyBorder="1" applyAlignment="1">
      <alignment horizontal="right"/>
    </xf>
    <xf numFmtId="0" fontId="7" fillId="0" borderId="51" xfId="0" applyFont="1" applyBorder="1"/>
    <xf numFmtId="0" fontId="7" fillId="0" borderId="53" xfId="0" applyFont="1" applyBorder="1"/>
    <xf numFmtId="6" fontId="15" fillId="0" borderId="54" xfId="1" applyNumberFormat="1" applyFont="1" applyBorder="1" applyAlignment="1">
      <alignment horizontal="right"/>
    </xf>
    <xf numFmtId="6" fontId="15" fillId="0" borderId="55" xfId="1" applyNumberFormat="1" applyFont="1" applyBorder="1" applyAlignment="1">
      <alignment horizontal="right"/>
    </xf>
    <xf numFmtId="6" fontId="15" fillId="0" borderId="56" xfId="1" applyNumberFormat="1" applyFont="1" applyBorder="1" applyAlignment="1">
      <alignment horizontal="right"/>
    </xf>
    <xf numFmtId="6" fontId="12" fillId="0" borderId="16" xfId="1" applyNumberFormat="1" applyFont="1" applyBorder="1" applyAlignment="1">
      <alignment horizontal="right"/>
    </xf>
    <xf numFmtId="6" fontId="13" fillId="0" borderId="6" xfId="1" applyNumberFormat="1" applyFont="1" applyBorder="1" applyAlignment="1">
      <alignment horizontal="right"/>
    </xf>
    <xf numFmtId="6" fontId="12" fillId="0" borderId="57" xfId="1" applyNumberFormat="1" applyFont="1" applyBorder="1" applyAlignment="1">
      <alignment horizontal="right"/>
    </xf>
    <xf numFmtId="6" fontId="12" fillId="0" borderId="58" xfId="1" applyNumberFormat="1" applyFont="1" applyBorder="1" applyAlignment="1">
      <alignment horizontal="right"/>
    </xf>
    <xf numFmtId="164" fontId="6" fillId="0" borderId="0" xfId="0" applyNumberFormat="1" applyFont="1" applyFill="1" applyAlignment="1">
      <alignment vertical="center"/>
    </xf>
    <xf numFmtId="164" fontId="6" fillId="0" borderId="0" xfId="1" applyNumberFormat="1" applyFont="1" applyFill="1" applyAlignment="1">
      <alignment vertical="center"/>
    </xf>
    <xf numFmtId="164" fontId="20" fillId="0" borderId="0" xfId="0" applyNumberFormat="1" applyFont="1" applyFill="1" applyBorder="1" applyAlignment="1">
      <alignment horizontal="center" vertical="center" wrapText="1"/>
    </xf>
    <xf numFmtId="3" fontId="8" fillId="3" borderId="1" xfId="0" applyNumberFormat="1" applyFont="1" applyFill="1" applyBorder="1" applyAlignment="1">
      <alignment horizontal="left" wrapText="1"/>
    </xf>
    <xf numFmtId="6" fontId="8" fillId="3" borderId="1" xfId="1" applyNumberFormat="1" applyFont="1" applyFill="1" applyBorder="1" applyAlignment="1">
      <alignment horizontal="center" wrapText="1"/>
    </xf>
    <xf numFmtId="6" fontId="8" fillId="3" borderId="21" xfId="1" applyNumberFormat="1" applyFont="1" applyFill="1" applyBorder="1" applyAlignment="1">
      <alignment horizontal="center" wrapText="1"/>
    </xf>
    <xf numFmtId="10" fontId="8" fillId="3" borderId="1" xfId="2" applyNumberFormat="1" applyFont="1" applyFill="1" applyBorder="1" applyAlignment="1">
      <alignment horizontal="center" wrapText="1"/>
    </xf>
    <xf numFmtId="0" fontId="7" fillId="3" borderId="0" xfId="0" applyFont="1" applyFill="1" applyAlignment="1">
      <alignment wrapText="1"/>
    </xf>
    <xf numFmtId="6" fontId="13" fillId="3" borderId="0" xfId="1" applyNumberFormat="1" applyFont="1" applyFill="1" applyBorder="1" applyAlignment="1">
      <alignment horizontal="left"/>
    </xf>
    <xf numFmtId="6" fontId="13" fillId="3" borderId="0" xfId="1" applyNumberFormat="1" applyFont="1" applyFill="1" applyBorder="1" applyAlignment="1">
      <alignment horizontal="right"/>
    </xf>
    <xf numFmtId="6" fontId="13" fillId="0" borderId="62" xfId="1" applyNumberFormat="1" applyFont="1" applyFill="1" applyBorder="1" applyAlignment="1">
      <alignment horizontal="center"/>
    </xf>
    <xf numFmtId="6" fontId="12" fillId="0" borderId="63" xfId="1" applyNumberFormat="1" applyFont="1" applyBorder="1" applyAlignment="1">
      <alignment horizontal="right"/>
    </xf>
    <xf numFmtId="0" fontId="7" fillId="0" borderId="63" xfId="0" applyFont="1" applyBorder="1"/>
    <xf numFmtId="6" fontId="15" fillId="0" borderId="63" xfId="1" applyNumberFormat="1" applyFont="1" applyBorder="1" applyAlignment="1">
      <alignment horizontal="right"/>
    </xf>
    <xf numFmtId="6" fontId="13" fillId="0" borderId="64" xfId="1" applyNumberFormat="1" applyFont="1" applyBorder="1" applyAlignment="1">
      <alignment horizontal="right"/>
    </xf>
    <xf numFmtId="6" fontId="12" fillId="0" borderId="0" xfId="1" applyNumberFormat="1" applyFont="1" applyBorder="1"/>
    <xf numFmtId="0" fontId="21" fillId="0" borderId="0" xfId="0" applyFont="1" applyAlignment="1">
      <alignment horizontal="center"/>
    </xf>
    <xf numFmtId="6" fontId="16" fillId="0" borderId="0" xfId="1" applyNumberFormat="1" applyFont="1" applyAlignment="1">
      <alignment horizontal="center"/>
    </xf>
    <xf numFmtId="6" fontId="21" fillId="0" borderId="0" xfId="1" applyNumberFormat="1" applyFont="1" applyAlignment="1">
      <alignment horizontal="center"/>
    </xf>
    <xf numFmtId="6" fontId="13" fillId="3" borderId="2" xfId="1" applyNumberFormat="1" applyFont="1" applyFill="1" applyBorder="1" applyAlignment="1">
      <alignment horizontal="center" wrapText="1"/>
    </xf>
    <xf numFmtId="6" fontId="13" fillId="3" borderId="3" xfId="1" applyNumberFormat="1" applyFont="1" applyFill="1" applyBorder="1" applyAlignment="1">
      <alignment horizontal="center" wrapText="1"/>
    </xf>
    <xf numFmtId="0" fontId="12" fillId="0" borderId="59" xfId="0" applyFont="1" applyBorder="1" applyAlignment="1">
      <alignment horizontal="center" wrapText="1"/>
    </xf>
    <xf numFmtId="0" fontId="12" fillId="0" borderId="60" xfId="0" applyFont="1" applyBorder="1" applyAlignment="1">
      <alignment horizontal="center" wrapText="1"/>
    </xf>
    <xf numFmtId="0" fontId="12" fillId="0" borderId="61" xfId="0" applyFont="1" applyBorder="1" applyAlignment="1">
      <alignment horizontal="center" wrapText="1"/>
    </xf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3" fontId="13" fillId="3" borderId="0" xfId="0" applyNumberFormat="1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164307</xdr:colOff>
      <xdr:row>63</xdr:row>
      <xdr:rowOff>71436</xdr:rowOff>
    </xdr:from>
    <xdr:to>
      <xdr:col>6</xdr:col>
      <xdr:colOff>803671</xdr:colOff>
      <xdr:row>84</xdr:row>
      <xdr:rowOff>95250</xdr:rowOff>
    </xdr:to>
    <xdr:sp macro="" textlink="">
      <xdr:nvSpPr>
        <xdr:cNvPr id="2" name="TextBox 1"/>
        <xdr:cNvSpPr txBox="1"/>
      </xdr:nvSpPr>
      <xdr:spPr>
        <a:xfrm>
          <a:off x="592932" y="14239874"/>
          <a:ext cx="6961583" cy="453628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>
              <a:latin typeface="+mn-lt"/>
            </a:rPr>
            <a:t>$49,755 of free cash used as a one time amount for Snow and Ice (needs to be budget funded going forward).</a:t>
          </a:r>
          <a:endParaRPr lang="en-US" sz="12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Municipal raises of $7,791 included as warrant article.</a:t>
          </a:r>
        </a:p>
        <a:p>
          <a:r>
            <a:rPr lang="en-US" sz="12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the FY17 Actual (Fire Department) we show $51,000 for ALS position hired on 3/1... Where is the $51,000 for this position, was it in the FY18 budget or a TM vote?  Should this be in the base?</a:t>
          </a:r>
        </a:p>
        <a:p>
          <a:endParaRPr lang="en-US" sz="12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Budget proposal – overarching themes:</a:t>
          </a:r>
        </a:p>
        <a:p>
          <a:pPr lvl="1"/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Free Cash - used sparingly in budgets.</a:t>
          </a:r>
        </a:p>
        <a:p>
          <a:pPr lvl="1"/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Stabilization – used for non-recurring expenses</a:t>
          </a:r>
        </a:p>
        <a:p>
          <a:pPr lvl="1"/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Cuts need to be made in the year the deficit occurs</a:t>
          </a:r>
        </a:p>
        <a:p>
          <a:pPr lvl="0"/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</a:t>
          </a:r>
          <a:r>
            <a:rPr lang="en-US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proposed budget uses $152,467 of free cash in Municipal budgets:</a:t>
          </a:r>
        </a:p>
        <a:p>
          <a:pPr lvl="1"/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$33,775 to</a:t>
          </a:r>
          <a:r>
            <a:rPr lang="en-US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maintain level service budge</a:t>
          </a:r>
        </a:p>
        <a:p>
          <a:pPr lvl="1"/>
          <a:r>
            <a:rPr lang="en-US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$51,210 in two new staff positions</a:t>
          </a:r>
        </a:p>
        <a:p>
          <a:pPr lvl="1"/>
          <a:r>
            <a:rPr lang="en-US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$12,000 in Police Technology Contractor</a:t>
          </a:r>
        </a:p>
        <a:p>
          <a:pPr marL="45720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$55,482 increase for Snow and Ice</a:t>
          </a:r>
          <a:endParaRPr lang="en-US" sz="12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Municipal budget has no cuts from level service, with two new positions added (one new position request is unfunded)</a:t>
          </a:r>
        </a:p>
        <a:p>
          <a:pPr lvl="0"/>
          <a:r>
            <a:rPr lang="en-US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School budget is left with a $164,650 deficit, which will be covered with one time funds, cuts in expenses or cuts in staffing.</a:t>
          </a:r>
        </a:p>
        <a:p>
          <a:pPr lvl="0"/>
          <a:r>
            <a:rPr lang="en-US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Concern:</a:t>
          </a:r>
        </a:p>
        <a:p>
          <a:pPr lvl="1"/>
          <a:r>
            <a:rPr lang="en-US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FY19, if no new funding sources are found, we are building a structural deficit of $317,117 ($164,650 in School, $152,467 in Municipal) Stabilization will be at 4.7%, with a minimum annual pay back of $20,585 to re-establish our target balance at 5%</a:t>
          </a:r>
        </a:p>
        <a:p>
          <a:pPr lvl="1"/>
          <a:r>
            <a:rPr lang="en-US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lvl="0"/>
          <a:r>
            <a:rPr lang="en-US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2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256"/>
  <sheetViews>
    <sheetView showGridLines="0" tabSelected="1" topLeftCell="A163" zoomScaleNormal="100" zoomScaleSheetLayoutView="80" workbookViewId="0">
      <selection activeCell="A174" sqref="A174:XFD174"/>
    </sheetView>
  </sheetViews>
  <sheetFormatPr defaultColWidth="14.5" defaultRowHeight="14.1" customHeight="1" x14ac:dyDescent="0.2"/>
  <cols>
    <col min="1" max="1" width="21.125" style="1" customWidth="1"/>
    <col min="2" max="2" width="16.25" style="60" hidden="1" customWidth="1"/>
    <col min="3" max="3" width="13.5" style="60" hidden="1" customWidth="1"/>
    <col min="4" max="4" width="15.625" style="78" bestFit="1" customWidth="1"/>
    <col min="5" max="6" width="15.625" style="60" bestFit="1" customWidth="1"/>
    <col min="7" max="7" width="15.625" style="56" bestFit="1" customWidth="1"/>
    <col min="8" max="8" width="17.75" style="56" bestFit="1" customWidth="1"/>
    <col min="9" max="10" width="19.625" style="59" bestFit="1" customWidth="1"/>
    <col min="11" max="11" width="20.125" style="175" bestFit="1" customWidth="1"/>
    <col min="12" max="12" width="19.625" style="59" bestFit="1" customWidth="1"/>
    <col min="13" max="17" width="14.5" style="89" customWidth="1"/>
    <col min="18" max="16384" width="14.5" style="1"/>
  </cols>
  <sheetData>
    <row r="1" spans="1:17" ht="18" customHeight="1" x14ac:dyDescent="0.2">
      <c r="A1" s="47" t="s">
        <v>57</v>
      </c>
      <c r="B1" s="48" t="s">
        <v>60</v>
      </c>
      <c r="C1" s="49" t="s">
        <v>59</v>
      </c>
      <c r="D1" s="49" t="s">
        <v>62</v>
      </c>
      <c r="E1" s="49" t="s">
        <v>65</v>
      </c>
      <c r="F1" s="49" t="s">
        <v>67</v>
      </c>
      <c r="G1" s="49" t="s">
        <v>69</v>
      </c>
      <c r="H1" s="49" t="s">
        <v>71</v>
      </c>
      <c r="I1" s="50" t="s">
        <v>187</v>
      </c>
      <c r="J1" s="50" t="s">
        <v>188</v>
      </c>
      <c r="K1" s="50" t="s">
        <v>148</v>
      </c>
      <c r="L1" s="50" t="s">
        <v>150</v>
      </c>
      <c r="M1" s="1"/>
      <c r="N1" s="1"/>
      <c r="O1" s="1"/>
      <c r="P1" s="1"/>
      <c r="Q1" s="1"/>
    </row>
    <row r="2" spans="1:17" ht="12.75" x14ac:dyDescent="0.2">
      <c r="A2" s="51" t="s">
        <v>58</v>
      </c>
      <c r="B2" s="52" t="s">
        <v>53</v>
      </c>
      <c r="C2" s="52" t="s">
        <v>53</v>
      </c>
      <c r="D2" s="52" t="s">
        <v>53</v>
      </c>
      <c r="E2" s="52" t="s">
        <v>53</v>
      </c>
      <c r="F2" s="52" t="s">
        <v>53</v>
      </c>
      <c r="G2" s="53" t="s">
        <v>70</v>
      </c>
      <c r="H2" s="53" t="s">
        <v>53</v>
      </c>
      <c r="I2" s="54" t="s">
        <v>183</v>
      </c>
      <c r="J2" s="54" t="s">
        <v>75</v>
      </c>
      <c r="K2" s="54" t="s">
        <v>149</v>
      </c>
      <c r="L2" s="54" t="s">
        <v>162</v>
      </c>
      <c r="M2" s="1"/>
      <c r="N2" s="1"/>
      <c r="O2" s="1"/>
      <c r="P2" s="1"/>
      <c r="Q2" s="1"/>
    </row>
    <row r="3" spans="1:17" ht="14.1" customHeight="1" x14ac:dyDescent="0.2">
      <c r="A3" s="3" t="s">
        <v>48</v>
      </c>
      <c r="B3" s="55"/>
      <c r="C3" s="56"/>
      <c r="D3" s="56"/>
      <c r="E3" s="56"/>
      <c r="F3" s="57"/>
      <c r="H3" s="58"/>
      <c r="K3" s="168"/>
      <c r="M3" s="1"/>
      <c r="N3" s="1"/>
      <c r="O3" s="1"/>
      <c r="P3" s="1"/>
      <c r="Q3" s="1"/>
    </row>
    <row r="4" spans="1:17" ht="14.1" customHeight="1" x14ac:dyDescent="0.2">
      <c r="A4" s="6" t="s">
        <v>66</v>
      </c>
      <c r="B4" s="55"/>
      <c r="C4" s="56"/>
      <c r="D4" s="56"/>
      <c r="E4" s="56"/>
      <c r="F4" s="57"/>
      <c r="G4" s="58"/>
      <c r="H4" s="58"/>
      <c r="K4" s="168"/>
      <c r="M4" s="1"/>
      <c r="N4" s="1"/>
      <c r="O4" s="1"/>
      <c r="P4" s="1"/>
      <c r="Q4" s="1"/>
    </row>
    <row r="5" spans="1:17" ht="14.1" customHeight="1" x14ac:dyDescent="0.2">
      <c r="A5" s="5" t="s">
        <v>0</v>
      </c>
      <c r="B5" s="60">
        <v>194969.68</v>
      </c>
      <c r="C5" s="60">
        <v>189565.15</v>
      </c>
      <c r="D5" s="56">
        <v>222360.61</v>
      </c>
      <c r="E5" s="56">
        <v>249470.55</v>
      </c>
      <c r="F5" s="56">
        <v>238066.32</v>
      </c>
      <c r="G5" s="58">
        <v>251613.98</v>
      </c>
      <c r="H5" s="58">
        <v>254365.89</v>
      </c>
      <c r="I5" s="58">
        <v>240869.36</v>
      </c>
      <c r="J5" s="58">
        <v>240869.36</v>
      </c>
      <c r="K5" s="169"/>
      <c r="L5" s="58">
        <v>240869.36</v>
      </c>
      <c r="M5" s="1">
        <f>+J5-H5</f>
        <v>-13496.530000000028</v>
      </c>
      <c r="N5" s="1"/>
      <c r="O5" s="1"/>
      <c r="P5" s="1"/>
      <c r="Q5" s="1"/>
    </row>
    <row r="6" spans="1:17" ht="14.1" customHeight="1" x14ac:dyDescent="0.2">
      <c r="A6" s="5" t="s">
        <v>1</v>
      </c>
      <c r="B6" s="56">
        <v>56980.82</v>
      </c>
      <c r="C6" s="56">
        <v>57889.15</v>
      </c>
      <c r="D6" s="56">
        <v>54649.32</v>
      </c>
      <c r="E6" s="56">
        <v>60007.6</v>
      </c>
      <c r="F6" s="56">
        <v>7448.96</v>
      </c>
      <c r="G6" s="58">
        <v>57990</v>
      </c>
      <c r="H6" s="58">
        <v>69818.22</v>
      </c>
      <c r="I6" s="58">
        <v>63915</v>
      </c>
      <c r="J6" s="58">
        <v>63915</v>
      </c>
      <c r="K6" s="169"/>
      <c r="L6" s="58">
        <v>63915</v>
      </c>
      <c r="M6" s="1"/>
      <c r="N6" s="1"/>
      <c r="O6" s="1"/>
      <c r="P6" s="1"/>
      <c r="Q6" s="1"/>
    </row>
    <row r="7" spans="1:17" ht="14.1" customHeight="1" x14ac:dyDescent="0.2">
      <c r="A7" s="61" t="s">
        <v>2</v>
      </c>
      <c r="B7" s="62">
        <f t="shared" ref="B7:H7" si="0">+B6+B5</f>
        <v>251950.5</v>
      </c>
      <c r="C7" s="62">
        <f t="shared" si="0"/>
        <v>247454.3</v>
      </c>
      <c r="D7" s="62">
        <f t="shared" si="0"/>
        <v>277009.93</v>
      </c>
      <c r="E7" s="62">
        <f t="shared" si="0"/>
        <v>309478.14999999997</v>
      </c>
      <c r="F7" s="62">
        <f t="shared" si="0"/>
        <v>245515.28</v>
      </c>
      <c r="G7" s="62">
        <f t="shared" si="0"/>
        <v>309603.98</v>
      </c>
      <c r="H7" s="62">
        <f t="shared" si="0"/>
        <v>324184.11</v>
      </c>
      <c r="I7" s="62">
        <f>+I6+I5</f>
        <v>304784.36</v>
      </c>
      <c r="J7" s="62">
        <f>+J6+J5</f>
        <v>304784.36</v>
      </c>
      <c r="K7" s="170"/>
      <c r="L7" s="62">
        <f>+L6+L5</f>
        <v>304784.36</v>
      </c>
      <c r="M7" s="1"/>
      <c r="N7" s="1"/>
      <c r="O7" s="1"/>
      <c r="P7" s="1"/>
      <c r="Q7" s="1"/>
    </row>
    <row r="8" spans="1:17" ht="14.1" customHeight="1" x14ac:dyDescent="0.2">
      <c r="A8" s="6" t="s">
        <v>3</v>
      </c>
      <c r="B8" s="55"/>
      <c r="C8" s="63"/>
      <c r="D8" s="56"/>
      <c r="E8" s="56"/>
      <c r="F8" s="56"/>
      <c r="G8" s="58"/>
      <c r="H8" s="58"/>
      <c r="I8" s="58"/>
      <c r="J8" s="58"/>
      <c r="K8" s="169"/>
      <c r="L8" s="58"/>
      <c r="M8" s="1"/>
      <c r="N8" s="1"/>
      <c r="O8" s="1"/>
      <c r="P8" s="1"/>
      <c r="Q8" s="1"/>
    </row>
    <row r="9" spans="1:17" ht="14.1" customHeight="1" x14ac:dyDescent="0.2">
      <c r="A9" s="5" t="s">
        <v>4</v>
      </c>
      <c r="B9" s="60">
        <v>2744.07</v>
      </c>
      <c r="C9" s="60">
        <v>3934.41</v>
      </c>
      <c r="D9" s="60">
        <v>3472.15</v>
      </c>
      <c r="E9" s="56">
        <v>3783.8</v>
      </c>
      <c r="F9" s="56">
        <v>3597.26</v>
      </c>
      <c r="G9" s="58">
        <v>3446.65</v>
      </c>
      <c r="H9" s="58">
        <v>3674.6</v>
      </c>
      <c r="I9" s="58">
        <v>4560</v>
      </c>
      <c r="J9" s="58">
        <v>4560</v>
      </c>
      <c r="K9" s="169"/>
      <c r="L9" s="58">
        <v>4560</v>
      </c>
      <c r="M9" s="1">
        <f>+J9-H9</f>
        <v>885.40000000000009</v>
      </c>
      <c r="N9" s="1"/>
      <c r="O9" s="1"/>
      <c r="P9" s="1"/>
      <c r="Q9" s="1"/>
    </row>
    <row r="10" spans="1:17" ht="14.1" customHeight="1" x14ac:dyDescent="0.2">
      <c r="A10" s="5" t="s">
        <v>1</v>
      </c>
      <c r="B10" s="56">
        <v>5942.82</v>
      </c>
      <c r="C10" s="56">
        <v>7398.15</v>
      </c>
      <c r="D10" s="56">
        <v>6586.81</v>
      </c>
      <c r="E10" s="56">
        <v>7580.79</v>
      </c>
      <c r="F10" s="56">
        <v>9723.61</v>
      </c>
      <c r="G10" s="56">
        <v>6529</v>
      </c>
      <c r="H10" s="56">
        <v>8436</v>
      </c>
      <c r="I10" s="56">
        <v>8436</v>
      </c>
      <c r="J10" s="56">
        <v>8436</v>
      </c>
      <c r="K10" s="171"/>
      <c r="L10" s="56">
        <v>8436</v>
      </c>
      <c r="M10" s="1"/>
      <c r="N10" s="1"/>
      <c r="O10" s="1"/>
      <c r="P10" s="1"/>
      <c r="Q10" s="1"/>
    </row>
    <row r="11" spans="1:17" ht="15" customHeight="1" x14ac:dyDescent="0.2">
      <c r="A11" s="61" t="s">
        <v>2</v>
      </c>
      <c r="B11" s="62">
        <f t="shared" ref="B11" si="1">+B10+B9</f>
        <v>8686.89</v>
      </c>
      <c r="C11" s="62">
        <f t="shared" ref="C11" si="2">+C10+C9</f>
        <v>11332.56</v>
      </c>
      <c r="D11" s="62">
        <f t="shared" ref="D11" si="3">+D10+D9</f>
        <v>10058.960000000001</v>
      </c>
      <c r="E11" s="62">
        <f t="shared" ref="E11" si="4">+E10+E9</f>
        <v>11364.59</v>
      </c>
      <c r="F11" s="62">
        <f t="shared" ref="F11" si="5">+F10+F9</f>
        <v>13320.87</v>
      </c>
      <c r="G11" s="62">
        <f t="shared" ref="G11" si="6">+G10+G9</f>
        <v>9975.65</v>
      </c>
      <c r="H11" s="62">
        <f t="shared" ref="H11" si="7">+H10+H9</f>
        <v>12110.6</v>
      </c>
      <c r="I11" s="62">
        <f>+I10+I9</f>
        <v>12996</v>
      </c>
      <c r="J11" s="62">
        <f>+J10+J9</f>
        <v>12996</v>
      </c>
      <c r="K11" s="170"/>
      <c r="L11" s="62">
        <f>+L10+L9</f>
        <v>12996</v>
      </c>
      <c r="M11" s="1"/>
      <c r="N11" s="1"/>
      <c r="O11" s="1"/>
      <c r="P11" s="1"/>
      <c r="Q11" s="1"/>
    </row>
    <row r="12" spans="1:17" ht="15" customHeight="1" x14ac:dyDescent="0.2">
      <c r="A12" s="1" t="s">
        <v>5</v>
      </c>
      <c r="B12" s="55"/>
      <c r="C12" s="63"/>
      <c r="D12" s="56"/>
      <c r="E12" s="56"/>
      <c r="F12" s="56"/>
      <c r="G12" s="58"/>
      <c r="H12" s="58"/>
      <c r="I12" s="58"/>
      <c r="J12" s="58"/>
      <c r="K12" s="169"/>
      <c r="L12" s="58"/>
      <c r="M12" s="1"/>
      <c r="N12" s="1"/>
      <c r="O12" s="1"/>
      <c r="P12" s="1"/>
      <c r="Q12" s="1"/>
    </row>
    <row r="13" spans="1:17" s="176" customFormat="1" ht="12.75" x14ac:dyDescent="0.15">
      <c r="A13" s="93" t="s">
        <v>1</v>
      </c>
      <c r="B13" s="178">
        <v>0</v>
      </c>
      <c r="C13" s="178">
        <v>0</v>
      </c>
      <c r="D13" s="178">
        <v>0</v>
      </c>
      <c r="E13" s="178">
        <v>0</v>
      </c>
      <c r="F13" s="178">
        <v>0</v>
      </c>
      <c r="G13" s="179">
        <v>67700</v>
      </c>
      <c r="H13" s="179">
        <v>75000</v>
      </c>
      <c r="I13" s="179">
        <v>100000</v>
      </c>
      <c r="J13" s="179">
        <v>100000</v>
      </c>
      <c r="K13" s="177"/>
      <c r="L13" s="179">
        <f>100000</f>
        <v>100000</v>
      </c>
      <c r="M13" s="93">
        <f>+J13-H13</f>
        <v>25000</v>
      </c>
    </row>
    <row r="14" spans="1:17" ht="15" customHeight="1" x14ac:dyDescent="0.2">
      <c r="A14" s="61" t="s">
        <v>2</v>
      </c>
      <c r="B14" s="62">
        <f t="shared" ref="B14" si="8">+B13+B12</f>
        <v>0</v>
      </c>
      <c r="C14" s="62">
        <f t="shared" ref="C14" si="9">+C13+C12</f>
        <v>0</v>
      </c>
      <c r="D14" s="62">
        <f t="shared" ref="D14" si="10">+D13+D12</f>
        <v>0</v>
      </c>
      <c r="E14" s="62">
        <f t="shared" ref="E14" si="11">+E13+E12</f>
        <v>0</v>
      </c>
      <c r="F14" s="62">
        <f t="shared" ref="F14" si="12">+F13+F12</f>
        <v>0</v>
      </c>
      <c r="G14" s="62">
        <f t="shared" ref="G14" si="13">+G13+G12</f>
        <v>67700</v>
      </c>
      <c r="H14" s="62">
        <f t="shared" ref="H14" si="14">+H13+H12</f>
        <v>75000</v>
      </c>
      <c r="I14" s="62">
        <f>+I13+I12</f>
        <v>100000</v>
      </c>
      <c r="J14" s="62">
        <f>+J13+J12</f>
        <v>100000</v>
      </c>
      <c r="K14" s="169"/>
      <c r="L14" s="62">
        <f>+L13+L12</f>
        <v>100000</v>
      </c>
      <c r="M14" s="1"/>
      <c r="N14" s="1"/>
      <c r="O14" s="1"/>
      <c r="P14" s="1"/>
      <c r="Q14" s="1"/>
    </row>
    <row r="15" spans="1:17" ht="14.1" customHeight="1" x14ac:dyDescent="0.2">
      <c r="A15" s="6" t="s">
        <v>72</v>
      </c>
      <c r="B15" s="55"/>
      <c r="C15" s="63"/>
      <c r="D15" s="56"/>
      <c r="E15" s="56"/>
      <c r="F15" s="56"/>
      <c r="G15" s="58"/>
      <c r="H15" s="58"/>
      <c r="I15" s="58"/>
      <c r="J15" s="58"/>
      <c r="K15" s="169"/>
      <c r="L15" s="58"/>
      <c r="M15" s="1"/>
      <c r="N15" s="1"/>
      <c r="O15" s="1"/>
      <c r="P15" s="1"/>
      <c r="Q15" s="1"/>
    </row>
    <row r="16" spans="1:17" ht="14.1" customHeight="1" x14ac:dyDescent="0.2">
      <c r="A16" s="5" t="s">
        <v>4</v>
      </c>
      <c r="B16" s="60">
        <v>174931.71</v>
      </c>
      <c r="C16" s="60">
        <v>184166.47</v>
      </c>
      <c r="D16" s="56">
        <v>189616.33</v>
      </c>
      <c r="E16" s="56">
        <v>194616.67</v>
      </c>
      <c r="F16" s="56">
        <v>198192.94</v>
      </c>
      <c r="G16" s="58">
        <v>198685.72</v>
      </c>
      <c r="H16" s="58">
        <v>200407.2</v>
      </c>
      <c r="I16" s="58">
        <v>210954.73</v>
      </c>
      <c r="J16" s="58">
        <v>210954.73</v>
      </c>
      <c r="K16" s="169"/>
      <c r="L16" s="58">
        <v>210954.73</v>
      </c>
      <c r="M16" s="1">
        <f>+J16-H16</f>
        <v>10547.529999999999</v>
      </c>
      <c r="N16" s="1"/>
      <c r="O16" s="1"/>
      <c r="P16" s="1"/>
      <c r="Q16" s="1"/>
    </row>
    <row r="17" spans="1:17" ht="14.1" customHeight="1" x14ac:dyDescent="0.2">
      <c r="A17" s="5" t="s">
        <v>1</v>
      </c>
      <c r="B17" s="56">
        <v>2836.02</v>
      </c>
      <c r="C17" s="56">
        <v>3167.82</v>
      </c>
      <c r="D17" s="56">
        <v>3262.39</v>
      </c>
      <c r="E17" s="60">
        <v>4186.62</v>
      </c>
      <c r="F17" s="60">
        <v>5199.8599999999997</v>
      </c>
      <c r="G17" s="58">
        <v>5188</v>
      </c>
      <c r="H17" s="58">
        <v>9688</v>
      </c>
      <c r="I17" s="58">
        <v>5128</v>
      </c>
      <c r="J17" s="58">
        <v>5128</v>
      </c>
      <c r="K17" s="169"/>
      <c r="L17" s="58">
        <v>5128</v>
      </c>
      <c r="M17" s="1"/>
      <c r="N17" s="1"/>
      <c r="O17" s="1"/>
      <c r="P17" s="1"/>
      <c r="Q17" s="1"/>
    </row>
    <row r="18" spans="1:17" ht="14.1" customHeight="1" x14ac:dyDescent="0.2">
      <c r="A18" s="61" t="s">
        <v>2</v>
      </c>
      <c r="B18" s="62">
        <f t="shared" ref="B18" si="15">+B17+B16</f>
        <v>177767.72999999998</v>
      </c>
      <c r="C18" s="62">
        <f t="shared" ref="C18" si="16">+C17+C16</f>
        <v>187334.29</v>
      </c>
      <c r="D18" s="62">
        <f t="shared" ref="D18" si="17">+D17+D16</f>
        <v>192878.72</v>
      </c>
      <c r="E18" s="62">
        <f t="shared" ref="E18" si="18">+E17+E16</f>
        <v>198803.29</v>
      </c>
      <c r="F18" s="62">
        <f t="shared" ref="F18" si="19">+F17+F16</f>
        <v>203392.8</v>
      </c>
      <c r="G18" s="62">
        <f t="shared" ref="G18" si="20">+G17+G16</f>
        <v>203873.72</v>
      </c>
      <c r="H18" s="62">
        <f t="shared" ref="H18" si="21">+H17+H16</f>
        <v>210095.2</v>
      </c>
      <c r="I18" s="62">
        <f>+I17+I16</f>
        <v>216082.73</v>
      </c>
      <c r="J18" s="62">
        <f>+J17+J16</f>
        <v>216082.73</v>
      </c>
      <c r="K18" s="169"/>
      <c r="L18" s="62">
        <f>+L17+L16</f>
        <v>216082.73</v>
      </c>
      <c r="M18" s="1"/>
      <c r="N18" s="1"/>
      <c r="O18" s="1"/>
      <c r="P18" s="1"/>
      <c r="Q18" s="1"/>
    </row>
    <row r="19" spans="1:17" ht="14.1" customHeight="1" x14ac:dyDescent="0.2">
      <c r="A19" s="6" t="s">
        <v>6</v>
      </c>
      <c r="B19" s="55"/>
      <c r="C19" s="63"/>
      <c r="D19" s="56"/>
      <c r="E19" s="56"/>
      <c r="F19" s="56"/>
      <c r="G19" s="58"/>
      <c r="H19" s="58"/>
      <c r="I19" s="58"/>
      <c r="J19" s="58"/>
      <c r="K19" s="169"/>
      <c r="L19" s="58"/>
      <c r="M19" s="1"/>
      <c r="N19" s="1"/>
      <c r="O19" s="1"/>
      <c r="P19" s="1"/>
      <c r="Q19" s="1"/>
    </row>
    <row r="20" spans="1:17" ht="14.1" customHeight="1" x14ac:dyDescent="0.2">
      <c r="A20" s="5" t="s">
        <v>0</v>
      </c>
      <c r="B20" s="60">
        <v>103874.11</v>
      </c>
      <c r="C20" s="60">
        <v>100986.08</v>
      </c>
      <c r="D20" s="56">
        <v>101420.01</v>
      </c>
      <c r="E20" s="56">
        <v>106881.84</v>
      </c>
      <c r="F20" s="56">
        <v>111562.09</v>
      </c>
      <c r="G20" s="58">
        <v>117498.5</v>
      </c>
      <c r="H20" s="58">
        <v>122057</v>
      </c>
      <c r="I20" s="58">
        <v>127845.4</v>
      </c>
      <c r="J20" s="58">
        <v>127845.4</v>
      </c>
      <c r="K20" s="169"/>
      <c r="L20" s="58">
        <v>127845.4</v>
      </c>
      <c r="M20" s="1">
        <f>+J20-H20</f>
        <v>5788.3999999999942</v>
      </c>
      <c r="N20" s="1"/>
      <c r="O20" s="1"/>
      <c r="P20" s="1"/>
      <c r="Q20" s="1"/>
    </row>
    <row r="21" spans="1:17" ht="14.1" customHeight="1" x14ac:dyDescent="0.2">
      <c r="A21" s="5" t="s">
        <v>1</v>
      </c>
      <c r="B21" s="56">
        <v>7527.91</v>
      </c>
      <c r="C21" s="56">
        <v>5498.48</v>
      </c>
      <c r="D21" s="56">
        <v>5482.29</v>
      </c>
      <c r="E21" s="56">
        <v>6366.24</v>
      </c>
      <c r="F21" s="56">
        <v>6391.33</v>
      </c>
      <c r="G21" s="58">
        <v>7060</v>
      </c>
      <c r="H21" s="58">
        <v>6396</v>
      </c>
      <c r="I21" s="58">
        <v>6596</v>
      </c>
      <c r="J21" s="58">
        <v>6596</v>
      </c>
      <c r="K21" s="169"/>
      <c r="L21" s="58">
        <v>6596</v>
      </c>
      <c r="M21" s="1"/>
      <c r="N21" s="1"/>
      <c r="O21" s="1"/>
      <c r="P21" s="1"/>
      <c r="Q21" s="1"/>
    </row>
    <row r="22" spans="1:17" ht="14.1" customHeight="1" x14ac:dyDescent="0.2">
      <c r="A22" s="61" t="s">
        <v>2</v>
      </c>
      <c r="B22" s="62">
        <f t="shared" ref="B22" si="22">+B21+B20</f>
        <v>111402.02</v>
      </c>
      <c r="C22" s="62">
        <f t="shared" ref="C22" si="23">+C21+C20</f>
        <v>106484.56</v>
      </c>
      <c r="D22" s="62">
        <f t="shared" ref="D22" si="24">+D21+D20</f>
        <v>106902.29999999999</v>
      </c>
      <c r="E22" s="62">
        <f t="shared" ref="E22" si="25">+E21+E20</f>
        <v>113248.08</v>
      </c>
      <c r="F22" s="62">
        <f t="shared" ref="F22" si="26">+F21+F20</f>
        <v>117953.42</v>
      </c>
      <c r="G22" s="62">
        <f t="shared" ref="G22" si="27">+G21+G20</f>
        <v>124558.5</v>
      </c>
      <c r="H22" s="62">
        <f t="shared" ref="H22" si="28">+H21+H20</f>
        <v>128453</v>
      </c>
      <c r="I22" s="62">
        <f>+I21+I20</f>
        <v>134441.4</v>
      </c>
      <c r="J22" s="62">
        <f>+J21+J20</f>
        <v>134441.4</v>
      </c>
      <c r="K22" s="169"/>
      <c r="L22" s="62">
        <f>+L21+L20</f>
        <v>134441.4</v>
      </c>
      <c r="M22" s="1"/>
      <c r="N22" s="1"/>
      <c r="O22" s="1"/>
      <c r="P22" s="1"/>
      <c r="Q22" s="1"/>
    </row>
    <row r="23" spans="1:17" ht="14.1" customHeight="1" x14ac:dyDescent="0.2">
      <c r="A23" s="6" t="s">
        <v>40</v>
      </c>
      <c r="B23" s="55"/>
      <c r="C23" s="63"/>
      <c r="D23" s="56"/>
      <c r="E23" s="56"/>
      <c r="F23" s="56"/>
      <c r="G23" s="58"/>
      <c r="H23" s="58"/>
      <c r="I23" s="58"/>
      <c r="J23" s="58"/>
      <c r="K23" s="169"/>
      <c r="L23" s="58"/>
      <c r="M23" s="1"/>
      <c r="N23" s="1"/>
      <c r="O23" s="1"/>
      <c r="P23" s="1"/>
      <c r="Q23" s="1"/>
    </row>
    <row r="24" spans="1:17" ht="14.1" customHeight="1" x14ac:dyDescent="0.2">
      <c r="A24" s="5" t="s">
        <v>0</v>
      </c>
      <c r="B24" s="60">
        <v>149540.49</v>
      </c>
      <c r="C24" s="60">
        <v>145671.65</v>
      </c>
      <c r="D24" s="56">
        <v>173099.3</v>
      </c>
      <c r="E24" s="56">
        <v>189351.73</v>
      </c>
      <c r="F24" s="56">
        <v>182247.31</v>
      </c>
      <c r="G24" s="58">
        <v>185873</v>
      </c>
      <c r="H24" s="58">
        <v>188010.5</v>
      </c>
      <c r="I24" s="58">
        <v>195979.56</v>
      </c>
      <c r="J24" s="58">
        <v>195979.56</v>
      </c>
      <c r="K24" s="169"/>
      <c r="L24" s="58">
        <v>195979.56</v>
      </c>
      <c r="M24" s="1">
        <f>+J24-H24</f>
        <v>7969.0599999999977</v>
      </c>
      <c r="N24" s="1"/>
      <c r="O24" s="1"/>
      <c r="P24" s="1"/>
      <c r="Q24" s="1"/>
    </row>
    <row r="25" spans="1:17" ht="14.1" customHeight="1" x14ac:dyDescent="0.2">
      <c r="A25" s="5" t="s">
        <v>1</v>
      </c>
      <c r="B25" s="60">
        <v>20903.39</v>
      </c>
      <c r="C25" s="60">
        <v>22930.77</v>
      </c>
      <c r="D25" s="56">
        <v>20435.12</v>
      </c>
      <c r="E25" s="56">
        <v>22615.34</v>
      </c>
      <c r="F25" s="56">
        <v>25785.78</v>
      </c>
      <c r="G25" s="58">
        <v>27475</v>
      </c>
      <c r="H25" s="58">
        <v>26845</v>
      </c>
      <c r="I25" s="58">
        <v>28135</v>
      </c>
      <c r="J25" s="58">
        <v>28135</v>
      </c>
      <c r="K25" s="169"/>
      <c r="L25" s="58">
        <v>28135</v>
      </c>
      <c r="M25" s="1"/>
      <c r="N25" s="1"/>
      <c r="O25" s="1"/>
      <c r="P25" s="1"/>
      <c r="Q25" s="1"/>
    </row>
    <row r="26" spans="1:17" ht="14.1" customHeight="1" x14ac:dyDescent="0.2">
      <c r="A26" s="61" t="s">
        <v>2</v>
      </c>
      <c r="B26" s="62">
        <f t="shared" ref="B26" si="29">+B25+B24</f>
        <v>170443.88</v>
      </c>
      <c r="C26" s="62">
        <f t="shared" ref="C26" si="30">+C25+C24</f>
        <v>168602.41999999998</v>
      </c>
      <c r="D26" s="62">
        <f t="shared" ref="D26" si="31">+D25+D24</f>
        <v>193534.41999999998</v>
      </c>
      <c r="E26" s="62">
        <f t="shared" ref="E26" si="32">+E25+E24</f>
        <v>211967.07</v>
      </c>
      <c r="F26" s="62">
        <f t="shared" ref="F26" si="33">+F25+F24</f>
        <v>208033.09</v>
      </c>
      <c r="G26" s="62">
        <f t="shared" ref="G26" si="34">+G25+G24</f>
        <v>213348</v>
      </c>
      <c r="H26" s="62">
        <f t="shared" ref="H26" si="35">+H25+H24</f>
        <v>214855.5</v>
      </c>
      <c r="I26" s="62">
        <f>+I25+I24</f>
        <v>224114.56</v>
      </c>
      <c r="J26" s="62">
        <f>+J25+J24</f>
        <v>224114.56</v>
      </c>
      <c r="K26" s="169"/>
      <c r="L26" s="62">
        <f>+L25+L24</f>
        <v>224114.56</v>
      </c>
      <c r="M26" s="1"/>
      <c r="N26" s="1"/>
      <c r="O26" s="1"/>
      <c r="P26" s="1"/>
      <c r="Q26" s="1"/>
    </row>
    <row r="27" spans="1:17" ht="14.1" customHeight="1" x14ac:dyDescent="0.2">
      <c r="A27" s="6" t="s">
        <v>7</v>
      </c>
      <c r="D27" s="56"/>
      <c r="E27" s="56"/>
      <c r="F27" s="56"/>
      <c r="G27" s="58"/>
      <c r="H27" s="58"/>
      <c r="I27" s="58"/>
      <c r="J27" s="58"/>
      <c r="K27" s="169"/>
      <c r="L27" s="58"/>
      <c r="M27" s="1"/>
      <c r="N27" s="1"/>
      <c r="O27" s="1"/>
      <c r="P27" s="1"/>
      <c r="Q27" s="1"/>
    </row>
    <row r="28" spans="1:17" ht="14.1" customHeight="1" x14ac:dyDescent="0.2">
      <c r="A28" s="5" t="s">
        <v>1</v>
      </c>
      <c r="B28" s="56">
        <v>78753.53</v>
      </c>
      <c r="C28" s="56">
        <v>87961.02</v>
      </c>
      <c r="D28" s="56">
        <v>122344.06000000001</v>
      </c>
      <c r="E28" s="56">
        <v>97790.33</v>
      </c>
      <c r="F28" s="56">
        <v>109484.27</v>
      </c>
      <c r="G28" s="58">
        <v>100000</v>
      </c>
      <c r="H28" s="58">
        <v>100000</v>
      </c>
      <c r="I28" s="58">
        <v>100000</v>
      </c>
      <c r="J28" s="58">
        <v>100000</v>
      </c>
      <c r="K28" s="169"/>
      <c r="L28" s="58">
        <v>100000</v>
      </c>
      <c r="M28" s="1"/>
      <c r="N28" s="1"/>
      <c r="O28" s="1"/>
      <c r="P28" s="1"/>
      <c r="Q28" s="1"/>
    </row>
    <row r="29" spans="1:17" ht="14.1" customHeight="1" x14ac:dyDescent="0.2">
      <c r="A29" s="61" t="s">
        <v>2</v>
      </c>
      <c r="B29" s="62">
        <f t="shared" ref="B29" si="36">+B28+B27</f>
        <v>78753.53</v>
      </c>
      <c r="C29" s="62">
        <f t="shared" ref="C29" si="37">+C28+C27</f>
        <v>87961.02</v>
      </c>
      <c r="D29" s="62">
        <f t="shared" ref="D29" si="38">+D28+D27</f>
        <v>122344.06000000001</v>
      </c>
      <c r="E29" s="62">
        <f t="shared" ref="E29" si="39">+E28+E27</f>
        <v>97790.33</v>
      </c>
      <c r="F29" s="62">
        <f t="shared" ref="F29" si="40">+F28+F27</f>
        <v>109484.27</v>
      </c>
      <c r="G29" s="62">
        <f t="shared" ref="G29" si="41">+G28+G27</f>
        <v>100000</v>
      </c>
      <c r="H29" s="62">
        <f t="shared" ref="H29" si="42">+H28+H27</f>
        <v>100000</v>
      </c>
      <c r="I29" s="62">
        <f>+I28+I27</f>
        <v>100000</v>
      </c>
      <c r="J29" s="62">
        <f>+J28+J27</f>
        <v>100000</v>
      </c>
      <c r="K29" s="169"/>
      <c r="L29" s="62">
        <f>+L28+L27</f>
        <v>100000</v>
      </c>
      <c r="M29" s="1"/>
      <c r="N29" s="1"/>
      <c r="O29" s="1"/>
      <c r="P29" s="1"/>
      <c r="Q29" s="1"/>
    </row>
    <row r="30" spans="1:17" ht="14.1" customHeight="1" x14ac:dyDescent="0.2">
      <c r="A30" s="6" t="s">
        <v>8</v>
      </c>
      <c r="D30" s="56"/>
      <c r="E30" s="56"/>
      <c r="F30" s="56"/>
      <c r="G30" s="58"/>
      <c r="H30" s="58"/>
      <c r="I30" s="58"/>
      <c r="J30" s="58"/>
      <c r="K30" s="169"/>
      <c r="L30" s="58"/>
      <c r="M30" s="1"/>
      <c r="N30" s="1"/>
      <c r="O30" s="1"/>
      <c r="P30" s="1"/>
      <c r="Q30" s="1"/>
    </row>
    <row r="31" spans="1:17" ht="14.1" customHeight="1" x14ac:dyDescent="0.2">
      <c r="A31" s="5" t="s">
        <v>0</v>
      </c>
      <c r="B31" s="60">
        <v>13744</v>
      </c>
      <c r="C31" s="60">
        <v>14392.76</v>
      </c>
      <c r="D31" s="56">
        <v>14870.1</v>
      </c>
      <c r="E31" s="56">
        <v>15168.96</v>
      </c>
      <c r="F31" s="56">
        <v>15472</v>
      </c>
      <c r="G31" s="58">
        <v>15472</v>
      </c>
      <c r="H31" s="58">
        <v>15936</v>
      </c>
      <c r="I31" s="58">
        <v>16415</v>
      </c>
      <c r="J31" s="58">
        <v>16415</v>
      </c>
      <c r="K31" s="169"/>
      <c r="L31" s="58">
        <v>16415</v>
      </c>
      <c r="M31" s="1">
        <f>+J31-H31</f>
        <v>479</v>
      </c>
      <c r="N31" s="1"/>
      <c r="O31" s="1"/>
      <c r="P31" s="1"/>
      <c r="Q31" s="1"/>
    </row>
    <row r="32" spans="1:17" ht="14.1" customHeight="1" x14ac:dyDescent="0.2">
      <c r="A32" s="5" t="s">
        <v>1</v>
      </c>
      <c r="B32" s="56">
        <v>79894</v>
      </c>
      <c r="C32" s="56">
        <v>89607.86</v>
      </c>
      <c r="D32" s="56">
        <v>93455.35</v>
      </c>
      <c r="E32" s="56">
        <v>91956.39</v>
      </c>
      <c r="F32" s="56">
        <v>108172.18</v>
      </c>
      <c r="G32" s="58">
        <v>116008</v>
      </c>
      <c r="H32" s="58">
        <v>124673</v>
      </c>
      <c r="I32" s="58">
        <v>118170</v>
      </c>
      <c r="J32" s="58">
        <v>118170</v>
      </c>
      <c r="K32" s="169"/>
      <c r="L32" s="58">
        <v>118170</v>
      </c>
      <c r="M32" s="1"/>
      <c r="N32" s="1"/>
      <c r="O32" s="1"/>
      <c r="P32" s="1"/>
      <c r="Q32" s="1"/>
    </row>
    <row r="33" spans="1:17" ht="14.1" customHeight="1" x14ac:dyDescent="0.2">
      <c r="A33" s="61" t="s">
        <v>2</v>
      </c>
      <c r="B33" s="62">
        <f t="shared" ref="B33" si="43">+B32+B31</f>
        <v>93638</v>
      </c>
      <c r="C33" s="62">
        <f t="shared" ref="C33" si="44">+C32+C31</f>
        <v>104000.62</v>
      </c>
      <c r="D33" s="62">
        <f t="shared" ref="D33" si="45">+D32+D31</f>
        <v>108325.45000000001</v>
      </c>
      <c r="E33" s="62">
        <f t="shared" ref="E33" si="46">+E32+E31</f>
        <v>107125.35</v>
      </c>
      <c r="F33" s="62">
        <f t="shared" ref="F33" si="47">+F32+F31</f>
        <v>123644.18</v>
      </c>
      <c r="G33" s="62">
        <f t="shared" ref="G33" si="48">+G32+G31</f>
        <v>131480</v>
      </c>
      <c r="H33" s="62">
        <f t="shared" ref="H33" si="49">+H32+H31</f>
        <v>140609</v>
      </c>
      <c r="I33" s="62">
        <f>+I32+I31</f>
        <v>134585</v>
      </c>
      <c r="J33" s="62">
        <f>+J32+J31</f>
        <v>134585</v>
      </c>
      <c r="K33" s="169"/>
      <c r="L33" s="62">
        <f>+L32+L31</f>
        <v>134585</v>
      </c>
      <c r="M33" s="1"/>
      <c r="N33" s="1"/>
      <c r="O33" s="1"/>
      <c r="P33" s="1"/>
      <c r="Q33" s="1"/>
    </row>
    <row r="34" spans="1:17" ht="14.1" customHeight="1" x14ac:dyDescent="0.2">
      <c r="A34" s="6" t="s">
        <v>9</v>
      </c>
      <c r="D34" s="56"/>
      <c r="E34" s="56"/>
      <c r="F34" s="56"/>
      <c r="G34" s="58"/>
      <c r="H34" s="58"/>
      <c r="I34" s="58"/>
      <c r="J34" s="58"/>
      <c r="K34" s="169"/>
      <c r="L34" s="58"/>
      <c r="M34" s="1"/>
      <c r="N34" s="1"/>
      <c r="O34" s="1"/>
      <c r="P34" s="1"/>
      <c r="Q34" s="1"/>
    </row>
    <row r="35" spans="1:17" s="190" customFormat="1" ht="26.85" customHeight="1" x14ac:dyDescent="0.15">
      <c r="A35" s="93" t="s">
        <v>0</v>
      </c>
      <c r="B35" s="178">
        <v>64697.59</v>
      </c>
      <c r="C35" s="178">
        <v>64863.91</v>
      </c>
      <c r="D35" s="178">
        <v>71688.88</v>
      </c>
      <c r="E35" s="178">
        <v>77463.94</v>
      </c>
      <c r="F35" s="178">
        <v>81334.559999999998</v>
      </c>
      <c r="G35" s="94">
        <v>84969</v>
      </c>
      <c r="H35" s="94">
        <v>86439.62</v>
      </c>
      <c r="I35" s="94">
        <f>88674.35+4173</f>
        <v>92847.35</v>
      </c>
      <c r="J35" s="94">
        <f>88674.35+4173</f>
        <v>92847.35</v>
      </c>
      <c r="K35" s="189" t="s">
        <v>184</v>
      </c>
      <c r="L35" s="94">
        <f>+J35</f>
        <v>92847.35</v>
      </c>
      <c r="M35" s="190">
        <f>+J35-H35</f>
        <v>6407.7300000000105</v>
      </c>
    </row>
    <row r="36" spans="1:17" ht="14.1" customHeight="1" x14ac:dyDescent="0.2">
      <c r="A36" s="5" t="s">
        <v>1</v>
      </c>
      <c r="B36" s="60">
        <v>4192.8099999999995</v>
      </c>
      <c r="C36" s="56">
        <v>4300</v>
      </c>
      <c r="D36" s="56">
        <v>3595.21</v>
      </c>
      <c r="E36" s="56">
        <v>4399.84</v>
      </c>
      <c r="F36" s="56">
        <v>4400</v>
      </c>
      <c r="G36" s="56">
        <v>4400</v>
      </c>
      <c r="H36" s="56">
        <v>5575</v>
      </c>
      <c r="I36" s="56">
        <v>5775</v>
      </c>
      <c r="J36" s="56">
        <v>5775</v>
      </c>
      <c r="K36" s="169"/>
      <c r="L36" s="56">
        <v>5775</v>
      </c>
      <c r="M36" s="1"/>
      <c r="N36" s="1"/>
      <c r="O36" s="1"/>
      <c r="P36" s="1"/>
      <c r="Q36" s="1"/>
    </row>
    <row r="37" spans="1:17" ht="14.1" customHeight="1" x14ac:dyDescent="0.2">
      <c r="A37" s="61" t="s">
        <v>2</v>
      </c>
      <c r="B37" s="62">
        <f t="shared" ref="B37" si="50">+B36+B35</f>
        <v>68890.399999999994</v>
      </c>
      <c r="C37" s="62">
        <f t="shared" ref="C37" si="51">+C36+C35</f>
        <v>69163.91</v>
      </c>
      <c r="D37" s="62">
        <f t="shared" ref="D37" si="52">+D36+D35</f>
        <v>75284.090000000011</v>
      </c>
      <c r="E37" s="62">
        <f t="shared" ref="E37" si="53">+E36+E35</f>
        <v>81863.78</v>
      </c>
      <c r="F37" s="62">
        <f t="shared" ref="F37" si="54">+F36+F35</f>
        <v>85734.56</v>
      </c>
      <c r="G37" s="62">
        <f t="shared" ref="G37" si="55">+G36+G35</f>
        <v>89369</v>
      </c>
      <c r="H37" s="62">
        <f t="shared" ref="H37" si="56">+H36+H35</f>
        <v>92014.62</v>
      </c>
      <c r="I37" s="62">
        <f>+I36+I35</f>
        <v>98622.35</v>
      </c>
      <c r="J37" s="62">
        <f>+J36+J35</f>
        <v>98622.35</v>
      </c>
      <c r="K37" s="169"/>
      <c r="L37" s="62">
        <f>+L36+L35</f>
        <v>98622.35</v>
      </c>
      <c r="M37" s="1"/>
      <c r="N37" s="1"/>
      <c r="O37" s="1"/>
      <c r="P37" s="1"/>
      <c r="Q37" s="1"/>
    </row>
    <row r="38" spans="1:17" ht="14.1" customHeight="1" x14ac:dyDescent="0.2">
      <c r="A38" s="6" t="s">
        <v>10</v>
      </c>
      <c r="D38" s="60"/>
      <c r="G38" s="58"/>
      <c r="H38" s="58"/>
      <c r="I38" s="58"/>
      <c r="J38" s="58"/>
      <c r="K38" s="169"/>
      <c r="L38" s="58"/>
      <c r="M38" s="1"/>
      <c r="N38" s="1"/>
      <c r="O38" s="1"/>
      <c r="P38" s="1"/>
      <c r="Q38" s="1"/>
    </row>
    <row r="39" spans="1:17" s="190" customFormat="1" ht="26.85" customHeight="1" x14ac:dyDescent="0.15">
      <c r="A39" s="93" t="s">
        <v>0</v>
      </c>
      <c r="B39" s="178">
        <v>8806.3799999999992</v>
      </c>
      <c r="C39" s="178">
        <v>7585.66</v>
      </c>
      <c r="D39" s="178">
        <v>19011.37</v>
      </c>
      <c r="E39" s="178">
        <v>5217.3999999999996</v>
      </c>
      <c r="F39" s="178">
        <v>13016.72</v>
      </c>
      <c r="G39" s="94">
        <v>9682.5400000000009</v>
      </c>
      <c r="H39" s="94">
        <v>16316</v>
      </c>
      <c r="I39" s="94">
        <f>1800+9854.04</f>
        <v>11654.04</v>
      </c>
      <c r="J39" s="94">
        <f>1800+9854.04</f>
        <v>11654.04</v>
      </c>
      <c r="K39" s="189" t="s">
        <v>185</v>
      </c>
      <c r="L39" s="94">
        <f>+J39</f>
        <v>11654.04</v>
      </c>
      <c r="M39" s="190">
        <f>+J39-H39</f>
        <v>-4661.9599999999991</v>
      </c>
    </row>
    <row r="40" spans="1:17" ht="14.1" customHeight="1" x14ac:dyDescent="0.2">
      <c r="A40" s="5" t="s">
        <v>1</v>
      </c>
      <c r="B40" s="56">
        <v>8650</v>
      </c>
      <c r="C40" s="56">
        <v>7530.99</v>
      </c>
      <c r="D40" s="56">
        <v>13435.08</v>
      </c>
      <c r="E40" s="56">
        <v>6360</v>
      </c>
      <c r="F40" s="56">
        <v>8945.0400000000009</v>
      </c>
      <c r="G40" s="58">
        <v>9560</v>
      </c>
      <c r="H40" s="58">
        <v>10630</v>
      </c>
      <c r="I40" s="58">
        <v>9630</v>
      </c>
      <c r="J40" s="58">
        <v>9630</v>
      </c>
      <c r="K40" s="169"/>
      <c r="L40" s="58">
        <v>9630</v>
      </c>
      <c r="M40" s="1"/>
      <c r="N40" s="1"/>
      <c r="O40" s="1"/>
      <c r="P40" s="1"/>
      <c r="Q40" s="1"/>
    </row>
    <row r="41" spans="1:17" ht="13.5" customHeight="1" x14ac:dyDescent="0.2">
      <c r="A41" s="61" t="s">
        <v>2</v>
      </c>
      <c r="B41" s="62">
        <f t="shared" ref="B41" si="57">+B40+B39</f>
        <v>17456.379999999997</v>
      </c>
      <c r="C41" s="62">
        <f t="shared" ref="C41" si="58">+C40+C39</f>
        <v>15116.65</v>
      </c>
      <c r="D41" s="62">
        <f t="shared" ref="D41" si="59">+D40+D39</f>
        <v>32446.449999999997</v>
      </c>
      <c r="E41" s="62">
        <f t="shared" ref="E41" si="60">+E40+E39</f>
        <v>11577.4</v>
      </c>
      <c r="F41" s="62">
        <f t="shared" ref="F41" si="61">+F40+F39</f>
        <v>21961.760000000002</v>
      </c>
      <c r="G41" s="62">
        <f t="shared" ref="G41" si="62">+G40+G39</f>
        <v>19242.54</v>
      </c>
      <c r="H41" s="62">
        <f t="shared" ref="H41" si="63">+H40+H39</f>
        <v>26946</v>
      </c>
      <c r="I41" s="62">
        <f>+I40+I39</f>
        <v>21284.04</v>
      </c>
      <c r="J41" s="62">
        <f>+J40+J39</f>
        <v>21284.04</v>
      </c>
      <c r="K41" s="169"/>
      <c r="L41" s="62">
        <f>+L40+L39</f>
        <v>21284.04</v>
      </c>
      <c r="M41" s="1"/>
      <c r="N41" s="1"/>
      <c r="O41" s="1"/>
      <c r="P41" s="1"/>
      <c r="Q41" s="1"/>
    </row>
    <row r="42" spans="1:17" ht="13.5" customHeight="1" x14ac:dyDescent="0.2">
      <c r="A42" s="6" t="s">
        <v>11</v>
      </c>
      <c r="D42" s="60"/>
      <c r="G42" s="60"/>
      <c r="H42" s="60"/>
      <c r="I42" s="60"/>
      <c r="J42" s="60"/>
      <c r="K42" s="169"/>
      <c r="L42" s="60"/>
      <c r="M42" s="1"/>
      <c r="N42" s="1"/>
      <c r="O42" s="1"/>
      <c r="P42" s="1"/>
      <c r="Q42" s="1"/>
    </row>
    <row r="43" spans="1:17" s="190" customFormat="1" ht="26.85" customHeight="1" x14ac:dyDescent="0.15">
      <c r="A43" s="93" t="s">
        <v>0</v>
      </c>
      <c r="B43" s="178">
        <v>573</v>
      </c>
      <c r="C43" s="178">
        <v>631.91999999999996</v>
      </c>
      <c r="D43" s="178">
        <v>608.07000000000005</v>
      </c>
      <c r="E43" s="178">
        <v>608.07000000000005</v>
      </c>
      <c r="F43" s="178">
        <v>625</v>
      </c>
      <c r="G43" s="94">
        <v>638</v>
      </c>
      <c r="H43" s="94">
        <v>651</v>
      </c>
      <c r="I43" s="94">
        <f>300+643.75</f>
        <v>943.75</v>
      </c>
      <c r="J43" s="94">
        <f>300+643.75</f>
        <v>943.75</v>
      </c>
      <c r="K43" s="189" t="s">
        <v>186</v>
      </c>
      <c r="L43" s="94">
        <f>+J43</f>
        <v>943.75</v>
      </c>
      <c r="M43" s="190">
        <f>+J43-H43</f>
        <v>292.75</v>
      </c>
    </row>
    <row r="44" spans="1:17" ht="13.5" customHeight="1" x14ac:dyDescent="0.2">
      <c r="A44" s="5" t="s">
        <v>1</v>
      </c>
      <c r="B44" s="56">
        <v>3100</v>
      </c>
      <c r="C44" s="56">
        <v>2741.98</v>
      </c>
      <c r="D44" s="56">
        <v>3275.73</v>
      </c>
      <c r="E44" s="56">
        <v>3385</v>
      </c>
      <c r="F44" s="56">
        <v>3484.43</v>
      </c>
      <c r="G44" s="58">
        <v>3585</v>
      </c>
      <c r="H44" s="58">
        <v>3825</v>
      </c>
      <c r="I44" s="58">
        <v>3900</v>
      </c>
      <c r="J44" s="58">
        <v>3900</v>
      </c>
      <c r="K44" s="169"/>
      <c r="L44" s="58">
        <v>3900</v>
      </c>
      <c r="M44" s="1"/>
      <c r="N44" s="1"/>
      <c r="O44" s="1"/>
      <c r="P44" s="1"/>
      <c r="Q44" s="1"/>
    </row>
    <row r="45" spans="1:17" ht="13.5" customHeight="1" x14ac:dyDescent="0.2">
      <c r="A45" s="61" t="s">
        <v>2</v>
      </c>
      <c r="B45" s="62">
        <f t="shared" ref="B45" si="64">+B44+B43</f>
        <v>3673</v>
      </c>
      <c r="C45" s="62">
        <f t="shared" ref="C45" si="65">+C44+C43</f>
        <v>3373.9</v>
      </c>
      <c r="D45" s="62">
        <f t="shared" ref="D45" si="66">+D44+D43</f>
        <v>3883.8</v>
      </c>
      <c r="E45" s="62">
        <f t="shared" ref="E45" si="67">+E44+E43</f>
        <v>3993.07</v>
      </c>
      <c r="F45" s="62">
        <f t="shared" ref="F45" si="68">+F44+F43</f>
        <v>4109.43</v>
      </c>
      <c r="G45" s="62">
        <f t="shared" ref="G45" si="69">+G44+G43</f>
        <v>4223</v>
      </c>
      <c r="H45" s="62">
        <f t="shared" ref="H45" si="70">+H44+H43</f>
        <v>4476</v>
      </c>
      <c r="I45" s="62">
        <f>+I44+I43</f>
        <v>4843.75</v>
      </c>
      <c r="J45" s="62">
        <f>+J44+J43</f>
        <v>4843.75</v>
      </c>
      <c r="K45" s="169"/>
      <c r="L45" s="62">
        <f>+L44+L43</f>
        <v>4843.75</v>
      </c>
      <c r="M45" s="1"/>
      <c r="N45" s="1"/>
      <c r="O45" s="1"/>
      <c r="P45" s="1"/>
      <c r="Q45" s="1"/>
    </row>
    <row r="46" spans="1:17" ht="14.1" customHeight="1" x14ac:dyDescent="0.2">
      <c r="A46" s="6" t="s">
        <v>12</v>
      </c>
      <c r="D46" s="56"/>
      <c r="E46" s="56"/>
      <c r="F46" s="56"/>
      <c r="G46" s="58"/>
      <c r="H46" s="58"/>
      <c r="I46" s="58"/>
      <c r="J46" s="58"/>
      <c r="K46" s="169"/>
      <c r="L46" s="58"/>
      <c r="M46" s="1"/>
      <c r="N46" s="1"/>
      <c r="O46" s="1"/>
      <c r="P46" s="1"/>
      <c r="Q46" s="1"/>
    </row>
    <row r="47" spans="1:17" ht="14.1" customHeight="1" x14ac:dyDescent="0.2">
      <c r="A47" s="5" t="s">
        <v>0</v>
      </c>
      <c r="B47" s="60">
        <v>10496.67</v>
      </c>
      <c r="C47" s="60">
        <v>11490.48</v>
      </c>
      <c r="D47" s="56">
        <v>11564.8</v>
      </c>
      <c r="E47" s="56">
        <v>12344.78</v>
      </c>
      <c r="F47" s="56">
        <v>12469.2</v>
      </c>
      <c r="G47" s="58">
        <v>12272</v>
      </c>
      <c r="H47" s="58">
        <v>13033.8</v>
      </c>
      <c r="I47" s="58">
        <v>13351</v>
      </c>
      <c r="J47" s="58">
        <v>13351</v>
      </c>
      <c r="K47" s="169"/>
      <c r="L47" s="58">
        <v>13351</v>
      </c>
      <c r="M47" s="1">
        <f>+J47-H47</f>
        <v>317.20000000000073</v>
      </c>
      <c r="N47" s="1"/>
      <c r="O47" s="1"/>
      <c r="P47" s="1"/>
      <c r="Q47" s="1"/>
    </row>
    <row r="48" spans="1:17" ht="14.1" customHeight="1" x14ac:dyDescent="0.2">
      <c r="A48" s="5" t="s">
        <v>1</v>
      </c>
      <c r="B48" s="60">
        <v>2760.84</v>
      </c>
      <c r="C48" s="60">
        <v>3889.14</v>
      </c>
      <c r="D48" s="56">
        <v>4766.53</v>
      </c>
      <c r="E48" s="56">
        <v>2899.34</v>
      </c>
      <c r="F48" s="56">
        <v>1694.85</v>
      </c>
      <c r="G48" s="58">
        <v>4777</v>
      </c>
      <c r="H48" s="58">
        <v>4777</v>
      </c>
      <c r="I48" s="58">
        <v>4777</v>
      </c>
      <c r="J48" s="58">
        <v>4777</v>
      </c>
      <c r="K48" s="169"/>
      <c r="L48" s="58">
        <v>4777</v>
      </c>
      <c r="M48" s="1"/>
      <c r="N48" s="1"/>
      <c r="O48" s="1"/>
      <c r="P48" s="1"/>
      <c r="Q48" s="1"/>
    </row>
    <row r="49" spans="1:17" ht="14.1" customHeight="1" x14ac:dyDescent="0.2">
      <c r="A49" s="61" t="s">
        <v>2</v>
      </c>
      <c r="B49" s="62">
        <f t="shared" ref="B49" si="71">+B48+B47</f>
        <v>13257.51</v>
      </c>
      <c r="C49" s="62">
        <f t="shared" ref="C49" si="72">+C48+C47</f>
        <v>15379.619999999999</v>
      </c>
      <c r="D49" s="62">
        <f t="shared" ref="D49" si="73">+D48+D47</f>
        <v>16331.329999999998</v>
      </c>
      <c r="E49" s="62">
        <f t="shared" ref="E49" si="74">+E48+E47</f>
        <v>15244.12</v>
      </c>
      <c r="F49" s="62">
        <f t="shared" ref="F49" si="75">+F48+F47</f>
        <v>14164.050000000001</v>
      </c>
      <c r="G49" s="62">
        <f t="shared" ref="G49" si="76">+G48+G47</f>
        <v>17049</v>
      </c>
      <c r="H49" s="62">
        <f t="shared" ref="H49" si="77">+H48+H47</f>
        <v>17810.8</v>
      </c>
      <c r="I49" s="62">
        <f>+I48+I47</f>
        <v>18128</v>
      </c>
      <c r="J49" s="62">
        <f>+J48+J47</f>
        <v>18128</v>
      </c>
      <c r="K49" s="169"/>
      <c r="L49" s="62">
        <f>+L48+L47</f>
        <v>18128</v>
      </c>
      <c r="M49" s="1"/>
      <c r="N49" s="1"/>
      <c r="O49" s="1"/>
      <c r="P49" s="1"/>
      <c r="Q49" s="1"/>
    </row>
    <row r="50" spans="1:17" ht="14.1" customHeight="1" x14ac:dyDescent="0.2">
      <c r="A50" s="6" t="s">
        <v>13</v>
      </c>
      <c r="D50" s="60"/>
      <c r="G50" s="58"/>
      <c r="H50" s="58"/>
      <c r="I50" s="58"/>
      <c r="J50" s="58"/>
      <c r="K50" s="169"/>
      <c r="L50" s="58"/>
      <c r="M50" s="1"/>
      <c r="N50" s="1"/>
      <c r="O50" s="1"/>
      <c r="P50" s="1"/>
      <c r="Q50" s="1"/>
    </row>
    <row r="51" spans="1:17" ht="14.1" customHeight="1" x14ac:dyDescent="0.2">
      <c r="A51" s="5" t="s">
        <v>0</v>
      </c>
      <c r="B51" s="60">
        <v>14139.36</v>
      </c>
      <c r="C51" s="60">
        <v>15130.72</v>
      </c>
      <c r="D51" s="56">
        <v>16190.72</v>
      </c>
      <c r="E51" s="56">
        <v>17065.34</v>
      </c>
      <c r="F51" s="56">
        <v>17330.8</v>
      </c>
      <c r="G51" s="58">
        <v>17180.8</v>
      </c>
      <c r="H51" s="58">
        <v>17505.8</v>
      </c>
      <c r="I51" s="58">
        <v>18561.400000000001</v>
      </c>
      <c r="J51" s="58">
        <v>18561.400000000001</v>
      </c>
      <c r="K51" s="169"/>
      <c r="L51" s="58">
        <v>18561.400000000001</v>
      </c>
      <c r="M51" s="1">
        <f>+J51-H51</f>
        <v>1055.6000000000022</v>
      </c>
      <c r="N51" s="1"/>
      <c r="O51" s="1"/>
      <c r="P51" s="1"/>
      <c r="Q51" s="1"/>
    </row>
    <row r="52" spans="1:17" ht="14.1" customHeight="1" x14ac:dyDescent="0.2">
      <c r="A52" s="5" t="s">
        <v>54</v>
      </c>
      <c r="B52" s="56">
        <v>5667.03</v>
      </c>
      <c r="C52" s="56">
        <v>5487.73</v>
      </c>
      <c r="D52" s="56">
        <v>3839.25</v>
      </c>
      <c r="E52" s="56">
        <v>9456.51</v>
      </c>
      <c r="F52" s="56">
        <v>4686.46</v>
      </c>
      <c r="G52" s="58">
        <v>9425</v>
      </c>
      <c r="H52" s="58">
        <v>9425</v>
      </c>
      <c r="I52" s="58">
        <v>9425</v>
      </c>
      <c r="J52" s="58">
        <v>9425</v>
      </c>
      <c r="K52" s="169"/>
      <c r="L52" s="58">
        <v>9425</v>
      </c>
      <c r="M52" s="1"/>
      <c r="N52" s="1"/>
      <c r="O52" s="1"/>
      <c r="P52" s="1"/>
      <c r="Q52" s="1"/>
    </row>
    <row r="53" spans="1:17" ht="14.1" customHeight="1" x14ac:dyDescent="0.2">
      <c r="A53" s="61" t="s">
        <v>2</v>
      </c>
      <c r="B53" s="62">
        <f t="shared" ref="B53" si="78">+B52+B51</f>
        <v>19806.39</v>
      </c>
      <c r="C53" s="62">
        <f t="shared" ref="C53" si="79">+C52+C51</f>
        <v>20618.449999999997</v>
      </c>
      <c r="D53" s="62">
        <f t="shared" ref="D53" si="80">+D52+D51</f>
        <v>20029.97</v>
      </c>
      <c r="E53" s="62">
        <f t="shared" ref="E53" si="81">+E52+E51</f>
        <v>26521.85</v>
      </c>
      <c r="F53" s="62">
        <f t="shared" ref="F53" si="82">+F52+F51</f>
        <v>22017.26</v>
      </c>
      <c r="G53" s="62">
        <f t="shared" ref="G53" si="83">+G52+G51</f>
        <v>26605.8</v>
      </c>
      <c r="H53" s="62">
        <f t="shared" ref="H53" si="84">+H52+H51</f>
        <v>26930.799999999999</v>
      </c>
      <c r="I53" s="62">
        <f>+I52+I51</f>
        <v>27986.400000000001</v>
      </c>
      <c r="J53" s="62">
        <f>+J52+J51</f>
        <v>27986.400000000001</v>
      </c>
      <c r="K53" s="169"/>
      <c r="L53" s="62">
        <f>+L52+L51</f>
        <v>27986.400000000001</v>
      </c>
      <c r="M53" s="1"/>
      <c r="N53" s="1"/>
      <c r="O53" s="1"/>
      <c r="P53" s="1"/>
      <c r="Q53" s="1"/>
    </row>
    <row r="54" spans="1:17" ht="14.1" customHeight="1" x14ac:dyDescent="0.2">
      <c r="A54" s="6" t="s">
        <v>73</v>
      </c>
      <c r="D54" s="56"/>
      <c r="E54" s="56"/>
      <c r="F54" s="56"/>
      <c r="G54" s="58"/>
      <c r="H54" s="58"/>
      <c r="I54" s="58"/>
      <c r="J54" s="58"/>
      <c r="K54" s="169"/>
      <c r="L54" s="58"/>
      <c r="M54" s="1"/>
      <c r="N54" s="1"/>
      <c r="O54" s="1"/>
      <c r="P54" s="1"/>
      <c r="Q54" s="1"/>
    </row>
    <row r="55" spans="1:17" ht="14.1" customHeight="1" x14ac:dyDescent="0.2">
      <c r="A55" s="5" t="s">
        <v>14</v>
      </c>
      <c r="B55" s="60">
        <v>6853.99</v>
      </c>
      <c r="C55" s="60">
        <v>5640.83</v>
      </c>
      <c r="D55" s="60">
        <v>4768.17</v>
      </c>
      <c r="E55" s="60">
        <v>3520.75</v>
      </c>
      <c r="F55" s="60">
        <v>3084.01</v>
      </c>
      <c r="G55" s="58">
        <v>4927.4540459999998</v>
      </c>
      <c r="H55" s="58">
        <v>7724.4</v>
      </c>
      <c r="I55" s="58">
        <v>3942.6</v>
      </c>
      <c r="J55" s="58">
        <v>3942.6</v>
      </c>
      <c r="K55" s="169"/>
      <c r="L55" s="58">
        <v>3942.6</v>
      </c>
      <c r="M55" s="1">
        <f>+J55-H55</f>
        <v>-3781.7999999999997</v>
      </c>
      <c r="N55" s="1"/>
      <c r="O55" s="1"/>
      <c r="P55" s="1"/>
      <c r="Q55" s="1"/>
    </row>
    <row r="56" spans="1:17" ht="14.1" customHeight="1" x14ac:dyDescent="0.2">
      <c r="A56" s="5" t="s">
        <v>1</v>
      </c>
      <c r="B56" s="56">
        <v>2388.7600000000002</v>
      </c>
      <c r="C56" s="56">
        <v>1338.64</v>
      </c>
      <c r="D56" s="56">
        <v>1938.0900000000001</v>
      </c>
      <c r="E56" s="56">
        <v>981</v>
      </c>
      <c r="F56" s="56">
        <v>872.46</v>
      </c>
      <c r="G56" s="58">
        <v>1500</v>
      </c>
      <c r="H56" s="58">
        <v>1500</v>
      </c>
      <c r="I56" s="58">
        <v>1800</v>
      </c>
      <c r="J56" s="58">
        <v>1800</v>
      </c>
      <c r="K56" s="169"/>
      <c r="L56" s="58">
        <v>1800</v>
      </c>
      <c r="M56" s="1"/>
      <c r="N56" s="1"/>
      <c r="O56" s="1"/>
      <c r="P56" s="1"/>
      <c r="Q56" s="1"/>
    </row>
    <row r="57" spans="1:17" ht="14.1" customHeight="1" x14ac:dyDescent="0.2">
      <c r="A57" s="61" t="s">
        <v>2</v>
      </c>
      <c r="B57" s="62">
        <f t="shared" ref="B57" si="85">+B56+B55</f>
        <v>9242.75</v>
      </c>
      <c r="C57" s="62">
        <f t="shared" ref="C57" si="86">+C56+C55</f>
        <v>6979.47</v>
      </c>
      <c r="D57" s="62">
        <f t="shared" ref="D57" si="87">+D56+D55</f>
        <v>6706.26</v>
      </c>
      <c r="E57" s="62">
        <f t="shared" ref="E57" si="88">+E56+E55</f>
        <v>4501.75</v>
      </c>
      <c r="F57" s="62">
        <f t="shared" ref="F57" si="89">+F56+F55</f>
        <v>3956.4700000000003</v>
      </c>
      <c r="G57" s="62">
        <f t="shared" ref="G57" si="90">+G56+G55</f>
        <v>6427.4540459999998</v>
      </c>
      <c r="H57" s="62">
        <f t="shared" ref="H57" si="91">+H56+H55</f>
        <v>9224.4</v>
      </c>
      <c r="I57" s="62">
        <f>+I56+I55</f>
        <v>5742.6</v>
      </c>
      <c r="J57" s="62">
        <f>+J56+J55</f>
        <v>5742.6</v>
      </c>
      <c r="K57" s="169"/>
      <c r="L57" s="62">
        <f>+L56+L55</f>
        <v>5742.6</v>
      </c>
      <c r="M57" s="1"/>
      <c r="N57" s="1"/>
      <c r="O57" s="1"/>
      <c r="P57" s="1"/>
      <c r="Q57" s="1"/>
    </row>
    <row r="58" spans="1:17" ht="14.1" customHeight="1" x14ac:dyDescent="0.2">
      <c r="A58" s="1" t="s">
        <v>16</v>
      </c>
      <c r="D58" s="56"/>
      <c r="E58" s="56"/>
      <c r="F58" s="56"/>
      <c r="G58" s="58"/>
      <c r="H58" s="58"/>
      <c r="I58" s="58"/>
      <c r="J58" s="58"/>
      <c r="K58" s="169"/>
      <c r="L58" s="58"/>
      <c r="M58" s="1"/>
      <c r="N58" s="1"/>
      <c r="O58" s="1"/>
      <c r="P58" s="1"/>
      <c r="Q58" s="1"/>
    </row>
    <row r="59" spans="1:17" ht="14.1" customHeight="1" x14ac:dyDescent="0.2">
      <c r="A59" s="5" t="s">
        <v>15</v>
      </c>
      <c r="B59" s="60">
        <v>192476.15</v>
      </c>
      <c r="C59" s="60">
        <v>250693.95</v>
      </c>
      <c r="D59" s="56">
        <v>253280.54</v>
      </c>
      <c r="E59" s="56">
        <v>273340.87</v>
      </c>
      <c r="F59" s="56">
        <v>320038</v>
      </c>
      <c r="G59" s="58">
        <v>381583</v>
      </c>
      <c r="H59" s="58">
        <v>397158</v>
      </c>
      <c r="I59" s="58">
        <v>408803</v>
      </c>
      <c r="J59" s="58">
        <v>408803</v>
      </c>
      <c r="K59" s="169"/>
      <c r="L59" s="58">
        <v>408803</v>
      </c>
      <c r="M59" s="1">
        <f>+J59-H59</f>
        <v>11645</v>
      </c>
      <c r="N59" s="1"/>
      <c r="O59" s="1"/>
      <c r="P59" s="1"/>
      <c r="Q59" s="1"/>
    </row>
    <row r="60" spans="1:17" ht="14.1" customHeight="1" x14ac:dyDescent="0.2">
      <c r="A60" s="61" t="s">
        <v>2</v>
      </c>
      <c r="B60" s="62">
        <f t="shared" ref="B60" si="92">+B59+B58</f>
        <v>192476.15</v>
      </c>
      <c r="C60" s="62">
        <f t="shared" ref="C60" si="93">+C59+C58</f>
        <v>250693.95</v>
      </c>
      <c r="D60" s="62">
        <f t="shared" ref="D60" si="94">+D59+D58</f>
        <v>253280.54</v>
      </c>
      <c r="E60" s="62">
        <f t="shared" ref="E60" si="95">+E59+E58</f>
        <v>273340.87</v>
      </c>
      <c r="F60" s="62">
        <f t="shared" ref="F60" si="96">+F59+F58</f>
        <v>320038</v>
      </c>
      <c r="G60" s="62">
        <f t="shared" ref="G60" si="97">+G59+G58</f>
        <v>381583</v>
      </c>
      <c r="H60" s="62">
        <f t="shared" ref="H60" si="98">+H59+H58</f>
        <v>397158</v>
      </c>
      <c r="I60" s="62">
        <f>+I59+I58</f>
        <v>408803</v>
      </c>
      <c r="J60" s="62">
        <f>+J59+J58</f>
        <v>408803</v>
      </c>
      <c r="K60" s="169"/>
      <c r="L60" s="62">
        <f>+L59+L58</f>
        <v>408803</v>
      </c>
      <c r="M60" s="1"/>
      <c r="N60" s="1"/>
      <c r="O60" s="1"/>
      <c r="P60" s="1"/>
      <c r="Q60" s="1"/>
    </row>
    <row r="61" spans="1:17" ht="14.1" customHeight="1" x14ac:dyDescent="0.2">
      <c r="A61" s="1" t="s">
        <v>17</v>
      </c>
      <c r="D61" s="56"/>
      <c r="E61" s="56"/>
      <c r="F61" s="56"/>
      <c r="G61" s="58"/>
      <c r="H61" s="58"/>
      <c r="I61" s="58"/>
      <c r="J61" s="58"/>
      <c r="K61" s="169"/>
      <c r="L61" s="58"/>
      <c r="M61" s="1"/>
      <c r="N61" s="1"/>
      <c r="O61" s="1"/>
      <c r="P61" s="1"/>
      <c r="Q61" s="1"/>
    </row>
    <row r="62" spans="1:17" ht="14.1" customHeight="1" x14ac:dyDescent="0.2">
      <c r="A62" s="5" t="s">
        <v>14</v>
      </c>
      <c r="B62" s="60">
        <v>35143.96</v>
      </c>
      <c r="C62" s="60">
        <v>39284.160000000003</v>
      </c>
      <c r="D62" s="56">
        <v>44430.18</v>
      </c>
      <c r="E62" s="56">
        <v>43158.75</v>
      </c>
      <c r="F62" s="56">
        <v>44846.59</v>
      </c>
      <c r="G62" s="58">
        <v>45008.800000000003</v>
      </c>
      <c r="H62" s="58">
        <v>80031.8</v>
      </c>
      <c r="I62" s="58">
        <v>88168.4</v>
      </c>
      <c r="J62" s="58">
        <v>88168.4</v>
      </c>
      <c r="K62" s="169"/>
      <c r="L62" s="58">
        <v>88168.4</v>
      </c>
      <c r="M62" s="1"/>
      <c r="N62" s="1"/>
      <c r="O62" s="1"/>
      <c r="P62" s="1"/>
      <c r="Q62" s="1"/>
    </row>
    <row r="63" spans="1:17" ht="14.1" customHeight="1" x14ac:dyDescent="0.2">
      <c r="A63" s="5" t="s">
        <v>15</v>
      </c>
      <c r="B63" s="56">
        <v>211241.58000000002</v>
      </c>
      <c r="C63" s="56">
        <v>198348.16</v>
      </c>
      <c r="D63" s="56">
        <v>179859.72</v>
      </c>
      <c r="E63" s="56">
        <v>206814.37999999998</v>
      </c>
      <c r="F63" s="56">
        <v>202223.05</v>
      </c>
      <c r="G63" s="58">
        <v>217765</v>
      </c>
      <c r="H63" s="58">
        <v>230666.23999999999</v>
      </c>
      <c r="I63" s="58">
        <v>212343</v>
      </c>
      <c r="J63" s="58">
        <v>212343</v>
      </c>
      <c r="K63" s="169"/>
      <c r="L63" s="58">
        <v>212343</v>
      </c>
      <c r="M63" s="1"/>
      <c r="N63" s="1"/>
      <c r="O63" s="1"/>
      <c r="P63" s="1"/>
      <c r="Q63" s="1"/>
    </row>
    <row r="64" spans="1:17" ht="14.1" customHeight="1" x14ac:dyDescent="0.2">
      <c r="A64" s="61" t="s">
        <v>2</v>
      </c>
      <c r="B64" s="62">
        <f t="shared" ref="B64" si="99">+B63+B62</f>
        <v>246385.54</v>
      </c>
      <c r="C64" s="62">
        <f t="shared" ref="C64" si="100">+C63+C62</f>
        <v>237632.32</v>
      </c>
      <c r="D64" s="62">
        <f t="shared" ref="D64" si="101">+D63+D62</f>
        <v>224289.9</v>
      </c>
      <c r="E64" s="62">
        <f t="shared" ref="E64" si="102">+E63+E62</f>
        <v>249973.12999999998</v>
      </c>
      <c r="F64" s="62">
        <f t="shared" ref="F64" si="103">+F63+F62</f>
        <v>247069.63999999998</v>
      </c>
      <c r="G64" s="62">
        <f t="shared" ref="G64" si="104">+G63+G62</f>
        <v>262773.8</v>
      </c>
      <c r="H64" s="62">
        <f t="shared" ref="H64" si="105">+H63+H62</f>
        <v>310698.03999999998</v>
      </c>
      <c r="I64" s="62">
        <f>+I63+I62</f>
        <v>300511.40000000002</v>
      </c>
      <c r="J64" s="62">
        <f>+J63+J62</f>
        <v>300511.40000000002</v>
      </c>
      <c r="K64" s="169"/>
      <c r="L64" s="62">
        <f>+L63+L62</f>
        <v>300511.40000000002</v>
      </c>
      <c r="M64" s="1"/>
      <c r="N64" s="1"/>
      <c r="O64" s="1"/>
      <c r="P64" s="1"/>
      <c r="Q64" s="1"/>
    </row>
    <row r="65" spans="1:17" ht="14.1" customHeight="1" x14ac:dyDescent="0.2">
      <c r="A65" s="6" t="s">
        <v>41</v>
      </c>
      <c r="D65" s="56"/>
      <c r="E65" s="56"/>
      <c r="F65" s="56"/>
      <c r="G65" s="58"/>
      <c r="H65" s="58"/>
      <c r="I65" s="58"/>
      <c r="J65" s="58"/>
      <c r="K65" s="169"/>
      <c r="L65" s="58"/>
      <c r="M65" s="1"/>
      <c r="N65" s="1"/>
      <c r="O65" s="1"/>
      <c r="P65" s="1"/>
      <c r="Q65" s="1"/>
    </row>
    <row r="66" spans="1:17" ht="14.1" customHeight="1" x14ac:dyDescent="0.2">
      <c r="A66" s="5" t="s">
        <v>15</v>
      </c>
      <c r="B66" s="60">
        <v>3213291.04</v>
      </c>
      <c r="C66" s="60">
        <v>3365345.41</v>
      </c>
      <c r="D66" s="56">
        <v>3463394.78</v>
      </c>
      <c r="E66" s="56">
        <v>3626322.22</v>
      </c>
      <c r="F66" s="56">
        <v>3848016.78</v>
      </c>
      <c r="G66" s="58">
        <v>4194166</v>
      </c>
      <c r="H66" s="58">
        <v>4432624</v>
      </c>
      <c r="I66" s="58">
        <v>4614608</v>
      </c>
      <c r="J66" s="58">
        <v>4614608</v>
      </c>
      <c r="K66" s="169"/>
      <c r="L66" s="58">
        <v>4614608</v>
      </c>
      <c r="M66" s="1">
        <f>+J66-H66</f>
        <v>181984</v>
      </c>
      <c r="N66" s="1"/>
      <c r="O66" s="1"/>
      <c r="P66" s="1"/>
      <c r="Q66" s="1"/>
    </row>
    <row r="67" spans="1:17" ht="14.1" customHeight="1" x14ac:dyDescent="0.2">
      <c r="A67" s="61" t="s">
        <v>2</v>
      </c>
      <c r="B67" s="62">
        <f t="shared" ref="B67" si="106">+B66+B65</f>
        <v>3213291.04</v>
      </c>
      <c r="C67" s="62">
        <f t="shared" ref="C67" si="107">+C66+C65</f>
        <v>3365345.41</v>
      </c>
      <c r="D67" s="62">
        <f t="shared" ref="D67" si="108">+D66+D65</f>
        <v>3463394.78</v>
      </c>
      <c r="E67" s="62">
        <f t="shared" ref="E67" si="109">+E66+E65</f>
        <v>3626322.22</v>
      </c>
      <c r="F67" s="62">
        <f t="shared" ref="F67" si="110">+F66+F65</f>
        <v>3848016.78</v>
      </c>
      <c r="G67" s="62">
        <f t="shared" ref="G67" si="111">+G66+G65</f>
        <v>4194166</v>
      </c>
      <c r="H67" s="62">
        <f t="shared" ref="H67" si="112">+H66+H65</f>
        <v>4432624</v>
      </c>
      <c r="I67" s="62">
        <f>+I66+I65</f>
        <v>4614608</v>
      </c>
      <c r="J67" s="62">
        <f>+J66+J65</f>
        <v>4614608</v>
      </c>
      <c r="K67" s="169"/>
      <c r="L67" s="62">
        <f>+L66+L65</f>
        <v>4614608</v>
      </c>
      <c r="M67" s="1"/>
      <c r="N67" s="1"/>
      <c r="O67" s="1"/>
      <c r="P67" s="1"/>
      <c r="Q67" s="1"/>
    </row>
    <row r="68" spans="1:17" s="7" customFormat="1" ht="14.1" customHeight="1" x14ac:dyDescent="0.2">
      <c r="A68" s="64" t="s">
        <v>42</v>
      </c>
      <c r="B68" s="65">
        <v>4677121.71</v>
      </c>
      <c r="C68" s="65">
        <v>4897407.3550000004</v>
      </c>
      <c r="D68" s="66">
        <f t="shared" ref="D68:J68" si="113">+D67+D64+D60+D57+D53+D49+D45+D41+D37+D33+D29+D26+D22+D18+D14+D11+D7</f>
        <v>5106700.9599999981</v>
      </c>
      <c r="E68" s="66">
        <f t="shared" si="113"/>
        <v>5343115.0500000017</v>
      </c>
      <c r="F68" s="66">
        <f t="shared" si="113"/>
        <v>5588411.8599999975</v>
      </c>
      <c r="G68" s="66">
        <f t="shared" si="113"/>
        <v>6161979.444046</v>
      </c>
      <c r="H68" s="66">
        <f t="shared" si="113"/>
        <v>6523190.0700000003</v>
      </c>
      <c r="I68" s="66">
        <f t="shared" ref="I68" si="114">+I67+I64+I60+I57+I53+I49+I45+I41+I37+I33+I29+I26+I22+I18+I14+I11+I7</f>
        <v>6727533.5900000008</v>
      </c>
      <c r="J68" s="66">
        <f t="shared" si="113"/>
        <v>6727533.5900000008</v>
      </c>
      <c r="K68" s="169"/>
      <c r="L68" s="66">
        <f t="shared" ref="L68" si="115">+L67+L64+L60+L57+L53+L49+L45+L41+L37+L33+L29+L26+L22+L18+L14+L11+L7</f>
        <v>6727533.5900000008</v>
      </c>
    </row>
    <row r="69" spans="1:17" ht="14.1" customHeight="1" x14ac:dyDescent="0.2">
      <c r="B69" s="55"/>
      <c r="C69" s="63"/>
      <c r="D69" s="56"/>
      <c r="E69" s="56"/>
      <c r="F69" s="56"/>
      <c r="G69" s="58"/>
      <c r="H69" s="58"/>
      <c r="I69" s="58"/>
      <c r="J69" s="58"/>
      <c r="K69" s="172"/>
      <c r="L69" s="58"/>
      <c r="M69" s="1"/>
      <c r="N69" s="1"/>
      <c r="O69" s="1"/>
      <c r="P69" s="1"/>
      <c r="Q69" s="1"/>
    </row>
    <row r="70" spans="1:17" ht="14.1" customHeight="1" x14ac:dyDescent="0.2">
      <c r="A70" s="4" t="s">
        <v>18</v>
      </c>
      <c r="B70" s="67"/>
      <c r="C70" s="68"/>
      <c r="D70" s="68"/>
      <c r="E70" s="68"/>
      <c r="F70" s="68"/>
      <c r="G70" s="68"/>
      <c r="H70" s="68"/>
      <c r="I70" s="68"/>
      <c r="J70" s="68"/>
      <c r="K70" s="173"/>
      <c r="L70" s="68"/>
      <c r="M70" s="1"/>
      <c r="N70" s="1"/>
      <c r="O70" s="1"/>
      <c r="P70" s="1"/>
      <c r="Q70" s="1"/>
    </row>
    <row r="71" spans="1:17" ht="14.1" customHeight="1" x14ac:dyDescent="0.2">
      <c r="A71" s="6" t="s">
        <v>19</v>
      </c>
      <c r="B71" s="55"/>
      <c r="C71" s="63"/>
      <c r="D71" s="56"/>
      <c r="E71" s="56"/>
      <c r="F71" s="56"/>
      <c r="G71" s="58"/>
      <c r="H71" s="58"/>
      <c r="I71" s="58"/>
      <c r="J71" s="58"/>
      <c r="K71" s="172"/>
      <c r="L71" s="58"/>
      <c r="M71" s="1"/>
      <c r="N71" s="1"/>
      <c r="O71" s="1"/>
      <c r="P71" s="1"/>
      <c r="Q71" s="1"/>
    </row>
    <row r="72" spans="1:17" ht="12.75" x14ac:dyDescent="0.2">
      <c r="A72" s="93" t="s">
        <v>14</v>
      </c>
      <c r="B72" s="94">
        <v>1322863.24</v>
      </c>
      <c r="C72" s="94">
        <v>1367955.11</v>
      </c>
      <c r="D72" s="94">
        <v>1471259.76</v>
      </c>
      <c r="E72" s="94">
        <v>1522614.65</v>
      </c>
      <c r="F72" s="94">
        <v>1568199.76</v>
      </c>
      <c r="G72" s="95">
        <v>1551700</v>
      </c>
      <c r="H72" s="95">
        <v>1588612.62</v>
      </c>
      <c r="I72" s="95">
        <v>1681841.17</v>
      </c>
      <c r="J72" s="95">
        <f>+I72+Uses!C19</f>
        <v>1703321.17</v>
      </c>
      <c r="K72" s="180" t="s">
        <v>197</v>
      </c>
      <c r="L72" s="95">
        <f>+J72</f>
        <v>1703321.17</v>
      </c>
      <c r="M72" s="1">
        <f>+J72-H72</f>
        <v>114708.54999999981</v>
      </c>
      <c r="N72" s="1"/>
      <c r="O72" s="1"/>
      <c r="P72" s="1"/>
      <c r="Q72" s="1"/>
    </row>
    <row r="73" spans="1:17" ht="14.1" customHeight="1" x14ac:dyDescent="0.2">
      <c r="A73" s="5" t="s">
        <v>15</v>
      </c>
      <c r="B73" s="56">
        <v>127896.84999999999</v>
      </c>
      <c r="C73" s="56">
        <v>121968.37000000001</v>
      </c>
      <c r="D73" s="56">
        <v>137825.59</v>
      </c>
      <c r="E73" s="56">
        <v>137026.47999999998</v>
      </c>
      <c r="F73" s="56">
        <v>143970.4</v>
      </c>
      <c r="G73" s="58">
        <v>140126.47999999998</v>
      </c>
      <c r="H73" s="58">
        <v>141945</v>
      </c>
      <c r="I73" s="58">
        <f>180000</f>
        <v>180000</v>
      </c>
      <c r="J73" s="58">
        <f>7000+180000</f>
        <v>187000</v>
      </c>
      <c r="K73" s="96" t="s">
        <v>181</v>
      </c>
      <c r="L73" s="58">
        <f>+J73+4000</f>
        <v>191000</v>
      </c>
      <c r="M73" s="1"/>
      <c r="N73" s="1"/>
      <c r="O73" s="1"/>
      <c r="P73" s="1"/>
      <c r="Q73" s="1"/>
    </row>
    <row r="74" spans="1:17" ht="14.1" customHeight="1" x14ac:dyDescent="0.2">
      <c r="A74" s="61" t="s">
        <v>2</v>
      </c>
      <c r="B74" s="62">
        <f t="shared" ref="B74" si="116">+B73+B72</f>
        <v>1450760.09</v>
      </c>
      <c r="C74" s="62">
        <f t="shared" ref="C74" si="117">+C73+C72</f>
        <v>1489923.4800000002</v>
      </c>
      <c r="D74" s="62">
        <f t="shared" ref="D74" si="118">+D73+D72</f>
        <v>1609085.35</v>
      </c>
      <c r="E74" s="62">
        <f t="shared" ref="E74" si="119">+E73+E72</f>
        <v>1659641.13</v>
      </c>
      <c r="F74" s="62">
        <f t="shared" ref="F74" si="120">+F73+F72</f>
        <v>1712170.16</v>
      </c>
      <c r="G74" s="62">
        <f t="shared" ref="G74" si="121">+G73+G72</f>
        <v>1691826.48</v>
      </c>
      <c r="H74" s="62">
        <f t="shared" ref="H74" si="122">+H73+H72</f>
        <v>1730557.62</v>
      </c>
      <c r="I74" s="62">
        <f>+I73+I72</f>
        <v>1861841.17</v>
      </c>
      <c r="J74" s="62">
        <f>+J73+J72</f>
        <v>1890321.17</v>
      </c>
      <c r="K74" s="169"/>
      <c r="L74" s="62">
        <f>+L73+L72</f>
        <v>1894321.17</v>
      </c>
      <c r="M74" s="1"/>
      <c r="N74" s="1"/>
      <c r="O74" s="1"/>
      <c r="P74" s="1"/>
      <c r="Q74" s="1"/>
    </row>
    <row r="75" spans="1:17" ht="14.1" customHeight="1" x14ac:dyDescent="0.2">
      <c r="A75" s="6" t="s">
        <v>55</v>
      </c>
      <c r="B75" s="55"/>
      <c r="C75" s="63"/>
      <c r="D75" s="56"/>
      <c r="E75" s="56"/>
      <c r="F75" s="56"/>
      <c r="G75" s="58"/>
      <c r="H75" s="58"/>
      <c r="I75" s="58"/>
      <c r="J75" s="58"/>
      <c r="K75" s="172"/>
      <c r="L75" s="58"/>
      <c r="M75" s="1"/>
      <c r="N75" s="1"/>
      <c r="O75" s="1"/>
      <c r="P75" s="1"/>
      <c r="Q75" s="1"/>
    </row>
    <row r="76" spans="1:17" s="190" customFormat="1" ht="25.5" x14ac:dyDescent="0.15">
      <c r="A76" s="93" t="s">
        <v>14</v>
      </c>
      <c r="B76" s="261">
        <v>642881.65</v>
      </c>
      <c r="C76" s="262">
        <v>714460.52</v>
      </c>
      <c r="D76" s="94">
        <v>772273.62</v>
      </c>
      <c r="E76" s="94">
        <v>830283.42</v>
      </c>
      <c r="F76" s="94">
        <v>870794</v>
      </c>
      <c r="G76" s="95">
        <v>906555.55</v>
      </c>
      <c r="H76" s="95">
        <v>1005478.5</v>
      </c>
      <c r="I76" s="95">
        <f>1084901.41</f>
        <v>1084901.4099999999</v>
      </c>
      <c r="J76" s="95">
        <v>1084901</v>
      </c>
      <c r="K76" s="263" t="s">
        <v>182</v>
      </c>
      <c r="L76" s="95">
        <f>+J76-20274</f>
        <v>1064627</v>
      </c>
      <c r="M76" s="190">
        <f>+J76-H76</f>
        <v>79422.5</v>
      </c>
    </row>
    <row r="77" spans="1:17" ht="14.1" customHeight="1" x14ac:dyDescent="0.2">
      <c r="A77" s="5" t="s">
        <v>15</v>
      </c>
      <c r="B77" s="55">
        <v>98302.17</v>
      </c>
      <c r="C77" s="63">
        <v>98788.41</v>
      </c>
      <c r="D77" s="56">
        <v>111317.23</v>
      </c>
      <c r="E77" s="56">
        <v>100527.18</v>
      </c>
      <c r="F77" s="56">
        <v>98949.18</v>
      </c>
      <c r="G77" s="58">
        <v>102565</v>
      </c>
      <c r="H77" s="58">
        <v>107337.15</v>
      </c>
      <c r="I77" s="58">
        <v>150000</v>
      </c>
      <c r="J77" s="58">
        <v>150000</v>
      </c>
      <c r="K77" s="169"/>
      <c r="L77" s="58">
        <v>150000</v>
      </c>
      <c r="M77" s="1"/>
      <c r="N77" s="1"/>
      <c r="O77" s="1"/>
      <c r="P77" s="1"/>
      <c r="Q77" s="1"/>
    </row>
    <row r="78" spans="1:17" ht="14.1" customHeight="1" x14ac:dyDescent="0.2">
      <c r="A78" s="61" t="s">
        <v>2</v>
      </c>
      <c r="B78" s="62">
        <f t="shared" ref="B78" si="123">+B77+B76</f>
        <v>741183.82000000007</v>
      </c>
      <c r="C78" s="62">
        <f t="shared" ref="C78" si="124">+C77+C76</f>
        <v>813248.93</v>
      </c>
      <c r="D78" s="62">
        <f t="shared" ref="D78" si="125">+D77+D76</f>
        <v>883590.85</v>
      </c>
      <c r="E78" s="62">
        <f t="shared" ref="E78" si="126">+E77+E76</f>
        <v>930810.60000000009</v>
      </c>
      <c r="F78" s="62">
        <f t="shared" ref="F78" si="127">+F77+F76</f>
        <v>969743.17999999993</v>
      </c>
      <c r="G78" s="62">
        <f t="shared" ref="G78" si="128">+G77+G76</f>
        <v>1009120.55</v>
      </c>
      <c r="H78" s="62">
        <f t="shared" ref="H78" si="129">+H77+H76</f>
        <v>1112815.6499999999</v>
      </c>
      <c r="I78" s="62">
        <f>+I77+I76</f>
        <v>1234901.4099999999</v>
      </c>
      <c r="J78" s="62">
        <f>+J77+J76</f>
        <v>1234901</v>
      </c>
      <c r="K78" s="169"/>
      <c r="L78" s="62">
        <f>+L77+L76</f>
        <v>1214627</v>
      </c>
      <c r="M78" s="1"/>
      <c r="N78" s="1"/>
      <c r="O78" s="1"/>
      <c r="P78" s="1"/>
      <c r="Q78" s="1"/>
    </row>
    <row r="79" spans="1:17" ht="14.1" customHeight="1" x14ac:dyDescent="0.2">
      <c r="A79" s="6" t="s">
        <v>20</v>
      </c>
      <c r="B79" s="55"/>
      <c r="C79" s="63"/>
      <c r="D79" s="56"/>
      <c r="E79" s="56"/>
      <c r="F79" s="56"/>
      <c r="G79" s="58"/>
      <c r="H79" s="58"/>
      <c r="I79" s="58"/>
      <c r="J79" s="58"/>
      <c r="K79" s="169"/>
      <c r="L79" s="58"/>
      <c r="M79" s="1"/>
      <c r="N79" s="1"/>
      <c r="O79" s="1"/>
      <c r="P79" s="1"/>
      <c r="Q79" s="1"/>
    </row>
    <row r="80" spans="1:17" ht="14.1" customHeight="1" x14ac:dyDescent="0.2">
      <c r="A80" s="5" t="s">
        <v>14</v>
      </c>
      <c r="B80" s="55">
        <v>202540.81</v>
      </c>
      <c r="C80" s="63">
        <v>196204.64</v>
      </c>
      <c r="D80" s="56">
        <v>204511.34</v>
      </c>
      <c r="E80" s="56">
        <v>217135.39</v>
      </c>
      <c r="F80" s="56">
        <v>216694.69</v>
      </c>
      <c r="G80" s="58">
        <v>241386</v>
      </c>
      <c r="H80" s="58">
        <v>236387.15</v>
      </c>
      <c r="I80" s="58">
        <v>240902.14</v>
      </c>
      <c r="J80" s="58">
        <v>240902.14</v>
      </c>
      <c r="K80" s="169"/>
      <c r="L80" s="58">
        <v>240902.14</v>
      </c>
      <c r="M80" s="1">
        <f>+J80-H80</f>
        <v>4514.9900000000198</v>
      </c>
      <c r="N80" s="1"/>
      <c r="O80" s="1"/>
      <c r="P80" s="1"/>
      <c r="Q80" s="1"/>
    </row>
    <row r="81" spans="1:17" ht="14.1" customHeight="1" x14ac:dyDescent="0.2">
      <c r="A81" s="5" t="s">
        <v>15</v>
      </c>
      <c r="B81" s="55">
        <v>4966.18</v>
      </c>
      <c r="C81" s="63">
        <v>3808.58</v>
      </c>
      <c r="D81" s="56">
        <v>152</v>
      </c>
      <c r="E81" s="56">
        <v>1570.79</v>
      </c>
      <c r="F81" s="56">
        <v>2952.02</v>
      </c>
      <c r="G81" s="58">
        <v>8300</v>
      </c>
      <c r="H81" s="58">
        <v>7300</v>
      </c>
      <c r="I81" s="58">
        <v>9000</v>
      </c>
      <c r="J81" s="58">
        <v>9000</v>
      </c>
      <c r="K81" s="169"/>
      <c r="L81" s="58">
        <v>9000</v>
      </c>
      <c r="M81" s="1"/>
      <c r="N81" s="1"/>
      <c r="O81" s="1"/>
      <c r="P81" s="1"/>
      <c r="Q81" s="1"/>
    </row>
    <row r="82" spans="1:17" ht="14.1" customHeight="1" x14ac:dyDescent="0.2">
      <c r="A82" s="61" t="s">
        <v>2</v>
      </c>
      <c r="B82" s="62">
        <f t="shared" ref="B82" si="130">+B81+B80</f>
        <v>207506.99</v>
      </c>
      <c r="C82" s="62">
        <f t="shared" ref="C82" si="131">+C81+C80</f>
        <v>200013.22</v>
      </c>
      <c r="D82" s="62">
        <f t="shared" ref="D82" si="132">+D81+D80</f>
        <v>204663.34</v>
      </c>
      <c r="E82" s="62">
        <f t="shared" ref="E82" si="133">+E81+E80</f>
        <v>218706.18000000002</v>
      </c>
      <c r="F82" s="62">
        <f t="shared" ref="F82" si="134">+F81+F80</f>
        <v>219646.71</v>
      </c>
      <c r="G82" s="62">
        <f t="shared" ref="G82" si="135">+G81+G80</f>
        <v>249686</v>
      </c>
      <c r="H82" s="62">
        <f t="shared" ref="H82" si="136">+H81+H80</f>
        <v>243687.15</v>
      </c>
      <c r="I82" s="62">
        <f>+I81+I80</f>
        <v>249902.14</v>
      </c>
      <c r="J82" s="62">
        <f>+J81+J80</f>
        <v>249902.14</v>
      </c>
      <c r="K82" s="169"/>
      <c r="L82" s="62">
        <f>+L81+L80</f>
        <v>249902.14</v>
      </c>
      <c r="M82" s="1"/>
      <c r="N82" s="1"/>
      <c r="O82" s="1"/>
      <c r="P82" s="1"/>
      <c r="Q82" s="1"/>
    </row>
    <row r="83" spans="1:17" ht="14.1" customHeight="1" x14ac:dyDescent="0.2">
      <c r="A83" s="6" t="s">
        <v>21</v>
      </c>
      <c r="B83" s="55"/>
      <c r="C83" s="63"/>
      <c r="D83" s="56"/>
      <c r="E83" s="56"/>
      <c r="F83" s="56"/>
      <c r="G83" s="58"/>
      <c r="H83" s="58"/>
      <c r="I83" s="58"/>
      <c r="J83" s="58"/>
      <c r="K83" s="169"/>
      <c r="L83" s="58"/>
      <c r="M83" s="1"/>
      <c r="N83" s="1"/>
      <c r="O83" s="1"/>
      <c r="P83" s="1"/>
      <c r="Q83" s="1"/>
    </row>
    <row r="84" spans="1:17" ht="14.1" customHeight="1" x14ac:dyDescent="0.2">
      <c r="A84" s="5" t="s">
        <v>14</v>
      </c>
      <c r="B84" s="55">
        <v>107766.06</v>
      </c>
      <c r="C84" s="63">
        <v>116478.72</v>
      </c>
      <c r="D84" s="56">
        <v>119325.72</v>
      </c>
      <c r="E84" s="56">
        <v>122651.42</v>
      </c>
      <c r="F84" s="56">
        <v>139141.91</v>
      </c>
      <c r="G84" s="58">
        <v>131699.78</v>
      </c>
      <c r="H84" s="58">
        <v>163205</v>
      </c>
      <c r="I84" s="58">
        <v>163950.88</v>
      </c>
      <c r="J84" s="58">
        <v>163950.88</v>
      </c>
      <c r="K84" s="169"/>
      <c r="L84" s="58">
        <v>163950.88</v>
      </c>
      <c r="M84" s="1">
        <f>+J84-H84</f>
        <v>745.88000000000466</v>
      </c>
      <c r="N84" s="1"/>
      <c r="O84" s="1"/>
      <c r="P84" s="1"/>
      <c r="Q84" s="1"/>
    </row>
    <row r="85" spans="1:17" ht="14.1" customHeight="1" x14ac:dyDescent="0.2">
      <c r="A85" s="5" t="s">
        <v>15</v>
      </c>
      <c r="B85" s="55">
        <v>6080.93</v>
      </c>
      <c r="C85" s="63">
        <v>6987.06</v>
      </c>
      <c r="D85" s="56">
        <v>6507.18</v>
      </c>
      <c r="E85" s="56">
        <v>6577.14</v>
      </c>
      <c r="F85" s="56">
        <v>6950.92</v>
      </c>
      <c r="G85" s="58">
        <v>7390</v>
      </c>
      <c r="H85" s="58">
        <v>8740</v>
      </c>
      <c r="I85" s="58">
        <v>8740</v>
      </c>
      <c r="J85" s="58">
        <v>8740</v>
      </c>
      <c r="K85" s="169"/>
      <c r="L85" s="58">
        <v>8740</v>
      </c>
      <c r="M85" s="1"/>
      <c r="N85" s="1"/>
      <c r="O85" s="1"/>
      <c r="P85" s="1"/>
      <c r="Q85" s="1"/>
    </row>
    <row r="86" spans="1:17" ht="14.1" customHeight="1" x14ac:dyDescent="0.2">
      <c r="A86" s="61" t="s">
        <v>2</v>
      </c>
      <c r="B86" s="62">
        <f t="shared" ref="B86" si="137">+B85+B84</f>
        <v>113846.98999999999</v>
      </c>
      <c r="C86" s="62">
        <f t="shared" ref="C86" si="138">+C85+C84</f>
        <v>123465.78</v>
      </c>
      <c r="D86" s="62">
        <f t="shared" ref="D86" si="139">+D85+D84</f>
        <v>125832.9</v>
      </c>
      <c r="E86" s="62">
        <f t="shared" ref="E86" si="140">+E85+E84</f>
        <v>129228.56</v>
      </c>
      <c r="F86" s="62">
        <f t="shared" ref="F86" si="141">+F85+F84</f>
        <v>146092.83000000002</v>
      </c>
      <c r="G86" s="62">
        <f t="shared" ref="G86" si="142">+G85+G84</f>
        <v>139089.78</v>
      </c>
      <c r="H86" s="62">
        <f t="shared" ref="H86" si="143">+H85+H84</f>
        <v>171945</v>
      </c>
      <c r="I86" s="62">
        <f>+I85+I84</f>
        <v>172690.88</v>
      </c>
      <c r="J86" s="62">
        <f>+J85+J84</f>
        <v>172690.88</v>
      </c>
      <c r="K86" s="169"/>
      <c r="L86" s="62">
        <f>+L85+L84</f>
        <v>172690.88</v>
      </c>
      <c r="M86" s="1"/>
      <c r="N86" s="1"/>
      <c r="O86" s="1"/>
      <c r="P86" s="1"/>
      <c r="Q86" s="1"/>
    </row>
    <row r="87" spans="1:17" ht="14.1" customHeight="1" x14ac:dyDescent="0.2">
      <c r="A87" s="6" t="s">
        <v>22</v>
      </c>
      <c r="B87" s="55"/>
      <c r="C87" s="63"/>
      <c r="D87" s="56"/>
      <c r="E87" s="56"/>
      <c r="F87" s="56"/>
      <c r="G87" s="58"/>
      <c r="H87" s="58"/>
      <c r="I87" s="58"/>
      <c r="J87" s="58"/>
      <c r="K87" s="169"/>
      <c r="L87" s="58"/>
      <c r="M87" s="1"/>
      <c r="N87" s="1"/>
      <c r="O87" s="1"/>
      <c r="P87" s="1"/>
      <c r="Q87" s="1"/>
    </row>
    <row r="88" spans="1:17" ht="14.1" customHeight="1" x14ac:dyDescent="0.2">
      <c r="A88" s="5" t="s">
        <v>14</v>
      </c>
      <c r="B88" s="55">
        <v>3009</v>
      </c>
      <c r="C88" s="63">
        <v>3151.6</v>
      </c>
      <c r="D88" s="63">
        <v>3256</v>
      </c>
      <c r="E88" s="63">
        <v>3321</v>
      </c>
      <c r="F88" s="63">
        <v>3387</v>
      </c>
      <c r="G88" s="58">
        <v>3387</v>
      </c>
      <c r="H88" s="58">
        <v>3477</v>
      </c>
      <c r="I88" s="58">
        <v>3183</v>
      </c>
      <c r="J88" s="58">
        <v>3183</v>
      </c>
      <c r="K88" s="169"/>
      <c r="L88" s="58">
        <v>3183</v>
      </c>
      <c r="M88" s="1">
        <f>+J88-H88</f>
        <v>-294</v>
      </c>
      <c r="N88" s="1"/>
      <c r="O88" s="1"/>
      <c r="P88" s="1"/>
      <c r="Q88" s="1"/>
    </row>
    <row r="89" spans="1:17" ht="14.1" customHeight="1" x14ac:dyDescent="0.2">
      <c r="A89" s="5" t="s">
        <v>15</v>
      </c>
      <c r="B89" s="55">
        <v>115.49</v>
      </c>
      <c r="C89" s="63">
        <v>0</v>
      </c>
      <c r="D89" s="63">
        <v>109.69</v>
      </c>
      <c r="E89" s="63">
        <v>159.72</v>
      </c>
      <c r="F89" s="63">
        <v>14.03</v>
      </c>
      <c r="G89" s="58">
        <v>150</v>
      </c>
      <c r="H89" s="58">
        <v>150</v>
      </c>
      <c r="I89" s="58">
        <v>150</v>
      </c>
      <c r="J89" s="58">
        <v>150</v>
      </c>
      <c r="K89" s="169"/>
      <c r="L89" s="58">
        <v>150</v>
      </c>
      <c r="M89" s="1"/>
      <c r="N89" s="1"/>
      <c r="O89" s="1"/>
      <c r="P89" s="1"/>
      <c r="Q89" s="1"/>
    </row>
    <row r="90" spans="1:17" ht="14.1" customHeight="1" x14ac:dyDescent="0.2">
      <c r="A90" s="61" t="s">
        <v>2</v>
      </c>
      <c r="B90" s="62">
        <f t="shared" ref="B90" si="144">+B89+B88</f>
        <v>3124.49</v>
      </c>
      <c r="C90" s="62">
        <f t="shared" ref="C90" si="145">+C89+C88</f>
        <v>3151.6</v>
      </c>
      <c r="D90" s="62">
        <f t="shared" ref="D90" si="146">+D89+D88</f>
        <v>3365.69</v>
      </c>
      <c r="E90" s="62">
        <f t="shared" ref="E90" si="147">+E89+E88</f>
        <v>3480.72</v>
      </c>
      <c r="F90" s="62">
        <f t="shared" ref="F90" si="148">+F89+F88</f>
        <v>3401.03</v>
      </c>
      <c r="G90" s="62">
        <f t="shared" ref="G90" si="149">+G89+G88</f>
        <v>3537</v>
      </c>
      <c r="H90" s="62">
        <f t="shared" ref="H90" si="150">+H89+H88</f>
        <v>3627</v>
      </c>
      <c r="I90" s="62">
        <f>+I89+I88</f>
        <v>3333</v>
      </c>
      <c r="J90" s="62">
        <f>+J89+J88</f>
        <v>3333</v>
      </c>
      <c r="K90" s="169"/>
      <c r="L90" s="62">
        <f>+L89+L88</f>
        <v>3333</v>
      </c>
      <c r="M90" s="1"/>
      <c r="N90" s="1"/>
      <c r="O90" s="1"/>
      <c r="P90" s="1"/>
      <c r="Q90" s="1"/>
    </row>
    <row r="91" spans="1:17" ht="14.1" customHeight="1" x14ac:dyDescent="0.2">
      <c r="A91" s="69" t="s">
        <v>23</v>
      </c>
      <c r="B91" s="55"/>
      <c r="C91" s="63"/>
      <c r="D91" s="63"/>
      <c r="E91" s="56"/>
      <c r="F91" s="56"/>
      <c r="G91" s="58"/>
      <c r="H91" s="58"/>
      <c r="I91" s="58"/>
      <c r="J91" s="58"/>
      <c r="K91" s="169"/>
      <c r="L91" s="58"/>
      <c r="M91" s="1"/>
      <c r="N91" s="1"/>
      <c r="O91" s="1"/>
      <c r="P91" s="1"/>
      <c r="Q91" s="1"/>
    </row>
    <row r="92" spans="1:17" ht="14.1" customHeight="1" x14ac:dyDescent="0.2">
      <c r="A92" s="5" t="s">
        <v>14</v>
      </c>
      <c r="B92" s="60">
        <v>1232</v>
      </c>
      <c r="C92" s="60">
        <v>1307.92</v>
      </c>
      <c r="D92" s="60">
        <v>1305.92</v>
      </c>
      <c r="E92" s="56">
        <v>680</v>
      </c>
      <c r="F92" s="56">
        <v>694</v>
      </c>
      <c r="G92" s="58">
        <v>1388</v>
      </c>
      <c r="H92" s="58">
        <v>1388</v>
      </c>
      <c r="I92" s="58">
        <v>737</v>
      </c>
      <c r="J92" s="58">
        <v>737</v>
      </c>
      <c r="K92" s="169"/>
      <c r="L92" s="58">
        <v>737</v>
      </c>
      <c r="M92" s="1">
        <f>+J92-H92</f>
        <v>-651</v>
      </c>
      <c r="N92" s="1"/>
      <c r="O92" s="1"/>
      <c r="P92" s="1"/>
      <c r="Q92" s="1"/>
    </row>
    <row r="93" spans="1:17" ht="14.1" customHeight="1" x14ac:dyDescent="0.2">
      <c r="A93" s="5" t="s">
        <v>15</v>
      </c>
      <c r="B93" s="56">
        <v>1552.58</v>
      </c>
      <c r="C93" s="56">
        <v>1618.35</v>
      </c>
      <c r="D93" s="56">
        <v>1590.72</v>
      </c>
      <c r="E93" s="56">
        <v>1596.23</v>
      </c>
      <c r="F93" s="56">
        <v>779.49</v>
      </c>
      <c r="G93" s="58">
        <v>1619</v>
      </c>
      <c r="H93" s="58">
        <v>1619</v>
      </c>
      <c r="I93" s="58">
        <v>1619</v>
      </c>
      <c r="J93" s="58">
        <v>1619</v>
      </c>
      <c r="K93" s="169"/>
      <c r="L93" s="58">
        <v>1619</v>
      </c>
      <c r="M93" s="1"/>
      <c r="N93" s="1"/>
      <c r="O93" s="1"/>
      <c r="P93" s="1"/>
      <c r="Q93" s="1"/>
    </row>
    <row r="94" spans="1:17" ht="14.1" customHeight="1" x14ac:dyDescent="0.2">
      <c r="A94" s="61" t="s">
        <v>2</v>
      </c>
      <c r="B94" s="62">
        <f t="shared" ref="B94" si="151">+B93+B92</f>
        <v>2784.58</v>
      </c>
      <c r="C94" s="62">
        <f t="shared" ref="C94" si="152">+C93+C92</f>
        <v>2926.27</v>
      </c>
      <c r="D94" s="62">
        <f t="shared" ref="D94" si="153">+D93+D92</f>
        <v>2896.6400000000003</v>
      </c>
      <c r="E94" s="62">
        <f t="shared" ref="E94" si="154">+E93+E92</f>
        <v>2276.23</v>
      </c>
      <c r="F94" s="62">
        <f t="shared" ref="F94" si="155">+F93+F92</f>
        <v>1473.49</v>
      </c>
      <c r="G94" s="62">
        <f t="shared" ref="G94" si="156">+G93+G92</f>
        <v>3007</v>
      </c>
      <c r="H94" s="62">
        <f t="shared" ref="H94" si="157">+H93+H92</f>
        <v>3007</v>
      </c>
      <c r="I94" s="62">
        <f>+I93+I92</f>
        <v>2356</v>
      </c>
      <c r="J94" s="62">
        <f>+J93+J92</f>
        <v>2356</v>
      </c>
      <c r="K94" s="169"/>
      <c r="L94" s="62">
        <f>+L93+L92</f>
        <v>2356</v>
      </c>
      <c r="M94" s="1"/>
      <c r="N94" s="1"/>
      <c r="O94" s="1"/>
      <c r="P94" s="1"/>
      <c r="Q94" s="1"/>
    </row>
    <row r="95" spans="1:17" ht="14.1" customHeight="1" x14ac:dyDescent="0.2">
      <c r="A95" s="1" t="s">
        <v>24</v>
      </c>
      <c r="B95" s="55"/>
      <c r="C95" s="63"/>
      <c r="D95" s="56"/>
      <c r="E95" s="56"/>
      <c r="F95" s="56"/>
      <c r="G95" s="58"/>
      <c r="H95" s="58"/>
      <c r="I95" s="58"/>
      <c r="J95" s="58"/>
      <c r="K95" s="169"/>
      <c r="L95" s="58"/>
      <c r="M95" s="1"/>
      <c r="N95" s="1"/>
      <c r="O95" s="1"/>
      <c r="P95" s="1"/>
      <c r="Q95" s="1"/>
    </row>
    <row r="96" spans="1:17" ht="14.1" customHeight="1" x14ac:dyDescent="0.2">
      <c r="A96" s="5" t="s">
        <v>14</v>
      </c>
      <c r="B96" s="55">
        <v>53575.74</v>
      </c>
      <c r="C96" s="63">
        <v>56714.13</v>
      </c>
      <c r="D96" s="56">
        <v>59756.97</v>
      </c>
      <c r="E96" s="56">
        <v>62529.33</v>
      </c>
      <c r="F96" s="56">
        <v>68867.33</v>
      </c>
      <c r="G96" s="58">
        <v>72300</v>
      </c>
      <c r="H96" s="58">
        <v>74729.600000000006</v>
      </c>
      <c r="I96" s="58">
        <v>77341.600000000006</v>
      </c>
      <c r="J96" s="58">
        <v>77341.600000000006</v>
      </c>
      <c r="K96" s="169"/>
      <c r="L96" s="58">
        <v>77341.600000000006</v>
      </c>
      <c r="M96" s="1">
        <f>+J96-H96</f>
        <v>2612</v>
      </c>
      <c r="N96" s="1"/>
      <c r="O96" s="1"/>
      <c r="P96" s="1"/>
      <c r="Q96" s="1"/>
    </row>
    <row r="97" spans="1:17" ht="14.1" customHeight="1" x14ac:dyDescent="0.2">
      <c r="A97" s="5" t="s">
        <v>15</v>
      </c>
      <c r="B97" s="56">
        <v>11749.31</v>
      </c>
      <c r="C97" s="56">
        <v>12129.55</v>
      </c>
      <c r="D97" s="56">
        <v>12729.95</v>
      </c>
      <c r="E97" s="56">
        <v>12615.45</v>
      </c>
      <c r="F97" s="56">
        <v>13417.67</v>
      </c>
      <c r="G97" s="58">
        <v>12200</v>
      </c>
      <c r="H97" s="58">
        <v>41094</v>
      </c>
      <c r="I97" s="58">
        <v>11300</v>
      </c>
      <c r="J97" s="58">
        <v>11300</v>
      </c>
      <c r="K97" s="169"/>
      <c r="L97" s="58">
        <v>11300</v>
      </c>
      <c r="M97" s="1"/>
      <c r="N97" s="1"/>
      <c r="O97" s="1"/>
      <c r="P97" s="1"/>
      <c r="Q97" s="1"/>
    </row>
    <row r="98" spans="1:17" ht="14.1" customHeight="1" x14ac:dyDescent="0.2">
      <c r="A98" s="61" t="s">
        <v>2</v>
      </c>
      <c r="B98" s="62">
        <f t="shared" ref="B98" si="158">+B97+B96</f>
        <v>65325.049999999996</v>
      </c>
      <c r="C98" s="62">
        <f t="shared" ref="C98" si="159">+C97+C96</f>
        <v>68843.679999999993</v>
      </c>
      <c r="D98" s="62">
        <f t="shared" ref="D98" si="160">+D97+D96</f>
        <v>72486.92</v>
      </c>
      <c r="E98" s="62">
        <f t="shared" ref="E98" si="161">+E97+E96</f>
        <v>75144.78</v>
      </c>
      <c r="F98" s="62">
        <f t="shared" ref="F98" si="162">+F97+F96</f>
        <v>82285</v>
      </c>
      <c r="G98" s="62">
        <f t="shared" ref="G98" si="163">+G97+G96</f>
        <v>84500</v>
      </c>
      <c r="H98" s="62">
        <f t="shared" ref="H98" si="164">+H97+H96</f>
        <v>115823.6</v>
      </c>
      <c r="I98" s="62">
        <f>+I97+I96</f>
        <v>88641.600000000006</v>
      </c>
      <c r="J98" s="62">
        <f>+J97+J96</f>
        <v>88641.600000000006</v>
      </c>
      <c r="K98" s="169"/>
      <c r="L98" s="62">
        <f>+L97+L96</f>
        <v>88641.600000000006</v>
      </c>
      <c r="M98" s="1"/>
      <c r="N98" s="1"/>
      <c r="O98" s="1"/>
      <c r="P98" s="1"/>
      <c r="Q98" s="1"/>
    </row>
    <row r="99" spans="1:17" s="7" customFormat="1" ht="14.1" customHeight="1" x14ac:dyDescent="0.2">
      <c r="A99" s="64" t="s">
        <v>43</v>
      </c>
      <c r="B99" s="65">
        <f t="shared" ref="B99:H99" si="165">+B98+B94+B90+B86+B82+B78+B74</f>
        <v>2584532.0099999998</v>
      </c>
      <c r="C99" s="65">
        <f t="shared" si="165"/>
        <v>2701572.96</v>
      </c>
      <c r="D99" s="65">
        <f t="shared" si="165"/>
        <v>2901921.69</v>
      </c>
      <c r="E99" s="65">
        <f t="shared" si="165"/>
        <v>3019288.2</v>
      </c>
      <c r="F99" s="65">
        <f t="shared" si="165"/>
        <v>3134812.4</v>
      </c>
      <c r="G99" s="65">
        <f t="shared" si="165"/>
        <v>3180766.81</v>
      </c>
      <c r="H99" s="65">
        <f t="shared" si="165"/>
        <v>3381463.02</v>
      </c>
      <c r="I99" s="65">
        <f>+I98+I94+I90+I86+I82+I78+I74</f>
        <v>3613666.1999999997</v>
      </c>
      <c r="J99" s="65">
        <f>+J98+J94+J90+J86+J82+J78+J74</f>
        <v>3642145.79</v>
      </c>
      <c r="K99" s="169"/>
      <c r="L99" s="65">
        <f>+L98+L94+L90+L86+L82+L78+L74</f>
        <v>3625871.79</v>
      </c>
    </row>
    <row r="100" spans="1:17" ht="14.1" customHeight="1" x14ac:dyDescent="0.2">
      <c r="A100" s="6"/>
      <c r="B100" s="55"/>
      <c r="C100" s="63"/>
      <c r="D100" s="56"/>
      <c r="E100" s="56"/>
      <c r="F100" s="56"/>
      <c r="G100" s="58"/>
      <c r="H100" s="58"/>
      <c r="I100" s="58"/>
      <c r="J100" s="58"/>
      <c r="K100" s="172"/>
      <c r="L100" s="58"/>
      <c r="M100" s="1"/>
      <c r="N100" s="1"/>
      <c r="O100" s="1"/>
      <c r="P100" s="1"/>
      <c r="Q100" s="1"/>
    </row>
    <row r="101" spans="1:17" ht="14.1" customHeight="1" x14ac:dyDescent="0.2">
      <c r="A101" s="4" t="s">
        <v>25</v>
      </c>
      <c r="B101" s="67"/>
      <c r="C101" s="68"/>
      <c r="D101" s="68"/>
      <c r="E101" s="68"/>
      <c r="F101" s="68"/>
      <c r="G101" s="68"/>
      <c r="H101" s="68"/>
      <c r="I101" s="68"/>
      <c r="J101" s="68"/>
      <c r="K101" s="173"/>
      <c r="L101" s="68"/>
      <c r="M101" s="1"/>
      <c r="N101" s="1"/>
      <c r="O101" s="1"/>
      <c r="P101" s="1"/>
      <c r="Q101" s="1"/>
    </row>
    <row r="102" spans="1:17" ht="14.1" customHeight="1" x14ac:dyDescent="0.2">
      <c r="A102" s="6" t="s">
        <v>44</v>
      </c>
      <c r="B102" s="55"/>
      <c r="C102" s="63"/>
      <c r="D102" s="63"/>
      <c r="E102" s="63"/>
      <c r="F102" s="56"/>
      <c r="G102" s="58"/>
      <c r="H102" s="58"/>
      <c r="I102" s="58"/>
      <c r="J102" s="58"/>
      <c r="K102" s="172"/>
      <c r="L102" s="58"/>
      <c r="M102" s="1"/>
      <c r="N102" s="1"/>
      <c r="O102" s="1"/>
      <c r="P102" s="1"/>
      <c r="Q102" s="1"/>
    </row>
    <row r="103" spans="1:17" ht="14.1" customHeight="1" x14ac:dyDescent="0.2">
      <c r="A103" s="5" t="s">
        <v>147</v>
      </c>
      <c r="B103" s="56">
        <v>11176538</v>
      </c>
      <c r="C103" s="56">
        <v>11733762.260000002</v>
      </c>
      <c r="D103" s="56">
        <v>12269844.85</v>
      </c>
      <c r="E103" s="56">
        <v>12904982.470000001</v>
      </c>
      <c r="F103" s="56">
        <v>13108486.32</v>
      </c>
      <c r="G103" s="56">
        <v>13820995.359999999</v>
      </c>
      <c r="H103" s="56">
        <v>14357995</v>
      </c>
      <c r="I103" s="56">
        <v>14964923</v>
      </c>
      <c r="J103" s="56">
        <v>14964923</v>
      </c>
      <c r="K103" s="174" t="s">
        <v>167</v>
      </c>
      <c r="L103" s="56">
        <f>+Uses!G17</f>
        <v>14800272.966</v>
      </c>
      <c r="M103" s="1">
        <f>+L103-J103</f>
        <v>-164650.03399999999</v>
      </c>
      <c r="N103" s="1"/>
      <c r="O103" s="1"/>
      <c r="P103" s="1"/>
      <c r="Q103" s="1"/>
    </row>
    <row r="104" spans="1:17" ht="14.1" customHeight="1" x14ac:dyDescent="0.2">
      <c r="A104" s="61" t="s">
        <v>2</v>
      </c>
      <c r="B104" s="62">
        <f t="shared" ref="B104:J104" si="166">+B103</f>
        <v>11176538</v>
      </c>
      <c r="C104" s="62">
        <f t="shared" si="166"/>
        <v>11733762.260000002</v>
      </c>
      <c r="D104" s="62">
        <f t="shared" si="166"/>
        <v>12269844.85</v>
      </c>
      <c r="E104" s="62">
        <f t="shared" si="166"/>
        <v>12904982.470000001</v>
      </c>
      <c r="F104" s="62">
        <f t="shared" si="166"/>
        <v>13108486.32</v>
      </c>
      <c r="G104" s="62">
        <f t="shared" si="166"/>
        <v>13820995.359999999</v>
      </c>
      <c r="H104" s="62">
        <f t="shared" si="166"/>
        <v>14357995</v>
      </c>
      <c r="I104" s="62">
        <f t="shared" si="166"/>
        <v>14964923</v>
      </c>
      <c r="J104" s="62">
        <f t="shared" si="166"/>
        <v>14964923</v>
      </c>
      <c r="K104" s="169"/>
      <c r="L104" s="62">
        <f>+L103</f>
        <v>14800272.966</v>
      </c>
      <c r="M104" s="1"/>
      <c r="N104" s="1"/>
      <c r="O104" s="1"/>
      <c r="P104" s="1"/>
      <c r="Q104" s="1"/>
    </row>
    <row r="105" spans="1:17" s="7" customFormat="1" ht="14.1" customHeight="1" x14ac:dyDescent="0.2">
      <c r="A105" s="64" t="s">
        <v>45</v>
      </c>
      <c r="B105" s="65">
        <f t="shared" ref="B105:J105" si="167">+B104</f>
        <v>11176538</v>
      </c>
      <c r="C105" s="65">
        <f t="shared" si="167"/>
        <v>11733762.260000002</v>
      </c>
      <c r="D105" s="65">
        <f t="shared" si="167"/>
        <v>12269844.85</v>
      </c>
      <c r="E105" s="65">
        <f t="shared" si="167"/>
        <v>12904982.470000001</v>
      </c>
      <c r="F105" s="65">
        <f t="shared" si="167"/>
        <v>13108486.32</v>
      </c>
      <c r="G105" s="65">
        <f t="shared" si="167"/>
        <v>13820995.359999999</v>
      </c>
      <c r="H105" s="65">
        <f t="shared" si="167"/>
        <v>14357995</v>
      </c>
      <c r="I105" s="65">
        <f t="shared" ref="I105" si="168">+I104</f>
        <v>14964923</v>
      </c>
      <c r="J105" s="65">
        <f t="shared" si="167"/>
        <v>14964923</v>
      </c>
      <c r="K105" s="169"/>
      <c r="L105" s="65">
        <f t="shared" ref="L105" si="169">+L104</f>
        <v>14800272.966</v>
      </c>
    </row>
    <row r="106" spans="1:17" ht="14.1" customHeight="1" x14ac:dyDescent="0.2">
      <c r="A106" s="70"/>
      <c r="B106" s="71"/>
      <c r="C106" s="72"/>
      <c r="D106" s="72"/>
      <c r="E106" s="72"/>
      <c r="F106" s="72"/>
      <c r="G106" s="72"/>
      <c r="H106" s="72"/>
      <c r="I106" s="72"/>
      <c r="J106" s="72"/>
      <c r="K106" s="169"/>
      <c r="L106" s="72"/>
      <c r="M106" s="1"/>
      <c r="N106" s="1"/>
      <c r="O106" s="1"/>
      <c r="P106" s="1"/>
      <c r="Q106" s="1"/>
    </row>
    <row r="107" spans="1:17" ht="14.1" customHeight="1" x14ac:dyDescent="0.2">
      <c r="A107" s="6" t="s">
        <v>47</v>
      </c>
      <c r="B107" s="55"/>
      <c r="C107" s="63"/>
      <c r="D107" s="63"/>
      <c r="E107" s="63"/>
      <c r="F107" s="56"/>
      <c r="I107" s="56"/>
      <c r="J107" s="56"/>
      <c r="K107" s="169"/>
      <c r="L107" s="56"/>
      <c r="M107" s="1"/>
      <c r="N107" s="1"/>
      <c r="O107" s="1"/>
      <c r="P107" s="1"/>
      <c r="Q107" s="1"/>
    </row>
    <row r="108" spans="1:17" ht="14.1" customHeight="1" x14ac:dyDescent="0.2">
      <c r="A108" s="5" t="s">
        <v>15</v>
      </c>
      <c r="B108" s="60">
        <v>496699</v>
      </c>
      <c r="C108" s="60">
        <v>424062</v>
      </c>
      <c r="D108" s="60">
        <v>396954</v>
      </c>
      <c r="E108" s="60">
        <v>291229</v>
      </c>
      <c r="F108" s="56">
        <v>340399</v>
      </c>
      <c r="G108" s="56">
        <v>354847</v>
      </c>
      <c r="H108" s="56">
        <v>349582</v>
      </c>
      <c r="I108" s="56">
        <v>445572</v>
      </c>
      <c r="J108" s="56">
        <v>445572</v>
      </c>
      <c r="K108" s="169"/>
      <c r="L108" s="56">
        <v>445572</v>
      </c>
      <c r="M108" s="1"/>
      <c r="N108" s="1"/>
      <c r="O108" s="1"/>
      <c r="P108" s="1"/>
      <c r="Q108" s="1"/>
    </row>
    <row r="109" spans="1:17" ht="14.1" customHeight="1" x14ac:dyDescent="0.2">
      <c r="A109" s="61" t="s">
        <v>2</v>
      </c>
      <c r="B109" s="62">
        <f t="shared" ref="B109" si="170">+B108+B107</f>
        <v>496699</v>
      </c>
      <c r="C109" s="62">
        <f t="shared" ref="C109" si="171">+C108+C107</f>
        <v>424062</v>
      </c>
      <c r="D109" s="62">
        <f t="shared" ref="D109" si="172">+D108+D107</f>
        <v>396954</v>
      </c>
      <c r="E109" s="62">
        <f t="shared" ref="E109" si="173">+E108+E107</f>
        <v>291229</v>
      </c>
      <c r="F109" s="62">
        <f t="shared" ref="F109" si="174">+F108+F107</f>
        <v>340399</v>
      </c>
      <c r="G109" s="62">
        <f t="shared" ref="G109" si="175">+G108+G107</f>
        <v>354847</v>
      </c>
      <c r="H109" s="62">
        <f t="shared" ref="H109" si="176">+H108+H107</f>
        <v>349582</v>
      </c>
      <c r="I109" s="62">
        <f>+I108+I107</f>
        <v>445572</v>
      </c>
      <c r="J109" s="62">
        <f>+J108+J107</f>
        <v>445572</v>
      </c>
      <c r="K109" s="169"/>
      <c r="L109" s="62">
        <f>+L108+L107</f>
        <v>445572</v>
      </c>
      <c r="M109" s="1"/>
      <c r="N109" s="1"/>
      <c r="O109" s="1"/>
      <c r="P109" s="1"/>
      <c r="Q109" s="1"/>
    </row>
    <row r="110" spans="1:17" s="7" customFormat="1" ht="14.1" customHeight="1" x14ac:dyDescent="0.2">
      <c r="A110" s="64" t="s">
        <v>46</v>
      </c>
      <c r="B110" s="65">
        <f t="shared" ref="B110:J110" si="177">+B109</f>
        <v>496699</v>
      </c>
      <c r="C110" s="65">
        <f t="shared" si="177"/>
        <v>424062</v>
      </c>
      <c r="D110" s="65">
        <f t="shared" si="177"/>
        <v>396954</v>
      </c>
      <c r="E110" s="65">
        <f t="shared" si="177"/>
        <v>291229</v>
      </c>
      <c r="F110" s="65">
        <f t="shared" si="177"/>
        <v>340399</v>
      </c>
      <c r="G110" s="65">
        <f t="shared" si="177"/>
        <v>354847</v>
      </c>
      <c r="H110" s="65">
        <f t="shared" si="177"/>
        <v>349582</v>
      </c>
      <c r="I110" s="65">
        <f t="shared" ref="I110" si="178">+I109</f>
        <v>445572</v>
      </c>
      <c r="J110" s="65">
        <f t="shared" si="177"/>
        <v>445572</v>
      </c>
      <c r="K110" s="169"/>
      <c r="L110" s="65">
        <f t="shared" ref="L110" si="179">+L109</f>
        <v>445572</v>
      </c>
    </row>
    <row r="111" spans="1:17" ht="14.1" customHeight="1" x14ac:dyDescent="0.2">
      <c r="A111" s="6"/>
      <c r="B111" s="55"/>
      <c r="C111" s="63"/>
      <c r="D111" s="56"/>
      <c r="E111" s="56"/>
      <c r="F111" s="56"/>
      <c r="G111" s="58"/>
      <c r="H111" s="58"/>
      <c r="I111" s="58"/>
      <c r="J111" s="58"/>
      <c r="K111" s="169"/>
      <c r="L111" s="58"/>
      <c r="M111" s="1"/>
      <c r="N111" s="1"/>
      <c r="O111" s="1"/>
      <c r="P111" s="1"/>
      <c r="Q111" s="1"/>
    </row>
    <row r="112" spans="1:17" ht="14.1" customHeight="1" x14ac:dyDescent="0.2">
      <c r="A112" s="4" t="s">
        <v>52</v>
      </c>
      <c r="B112" s="67"/>
      <c r="C112" s="68"/>
      <c r="D112" s="68"/>
      <c r="E112" s="68"/>
      <c r="F112" s="68"/>
      <c r="G112" s="68"/>
      <c r="H112" s="68"/>
      <c r="I112" s="68"/>
      <c r="J112" s="68"/>
      <c r="K112" s="169"/>
      <c r="L112" s="68"/>
      <c r="M112" s="1"/>
      <c r="N112" s="1"/>
      <c r="O112" s="1"/>
      <c r="P112" s="1"/>
      <c r="Q112" s="1"/>
    </row>
    <row r="113" spans="1:17" ht="14.1" customHeight="1" x14ac:dyDescent="0.2">
      <c r="A113" s="6" t="s">
        <v>26</v>
      </c>
      <c r="B113" s="55"/>
      <c r="C113" s="63"/>
      <c r="D113" s="56"/>
      <c r="E113" s="56"/>
      <c r="F113" s="56"/>
      <c r="G113" s="58"/>
      <c r="H113" s="58"/>
      <c r="I113" s="58"/>
      <c r="J113" s="58"/>
      <c r="K113" s="169"/>
      <c r="L113" s="58"/>
      <c r="M113" s="1"/>
      <c r="N113" s="1"/>
      <c r="O113" s="1"/>
      <c r="P113" s="1"/>
      <c r="Q113" s="1"/>
    </row>
    <row r="114" spans="1:17" ht="14.1" customHeight="1" x14ac:dyDescent="0.2">
      <c r="A114" s="5" t="s">
        <v>14</v>
      </c>
      <c r="B114" s="55">
        <v>266739.12</v>
      </c>
      <c r="C114" s="63">
        <v>231158.96</v>
      </c>
      <c r="D114" s="56">
        <v>304641.51</v>
      </c>
      <c r="E114" s="56">
        <v>304365.83</v>
      </c>
      <c r="F114" s="56">
        <v>371760.52</v>
      </c>
      <c r="G114" s="58">
        <v>332030.27999999997</v>
      </c>
      <c r="H114" s="58">
        <v>295961.15000000002</v>
      </c>
      <c r="I114" s="58">
        <v>296307.28999999998</v>
      </c>
      <c r="J114" s="58">
        <v>296307.28999999998</v>
      </c>
      <c r="K114" s="169"/>
      <c r="L114" s="58">
        <v>296307.28999999998</v>
      </c>
      <c r="M114" s="1"/>
      <c r="N114" s="1"/>
      <c r="O114" s="1"/>
      <c r="P114" s="1"/>
      <c r="Q114" s="1"/>
    </row>
    <row r="115" spans="1:17" ht="14.1" customHeight="1" x14ac:dyDescent="0.2">
      <c r="A115" s="5" t="s">
        <v>15</v>
      </c>
      <c r="B115" s="55">
        <v>621773.37</v>
      </c>
      <c r="C115" s="63">
        <v>493636.56</v>
      </c>
      <c r="D115" s="56">
        <v>616018.27</v>
      </c>
      <c r="E115" s="56">
        <v>581166.93000000005</v>
      </c>
      <c r="F115" s="56">
        <v>669381.25</v>
      </c>
      <c r="G115" s="58">
        <v>471323.07</v>
      </c>
      <c r="H115" s="58">
        <v>351072.45</v>
      </c>
      <c r="I115" s="58">
        <v>352484.45</v>
      </c>
      <c r="J115" s="58">
        <v>352484.45</v>
      </c>
      <c r="K115" s="169"/>
      <c r="L115" s="58">
        <v>352484.45</v>
      </c>
      <c r="M115" s="1"/>
      <c r="N115" s="1"/>
      <c r="O115" s="1"/>
      <c r="P115" s="1"/>
      <c r="Q115" s="1"/>
    </row>
    <row r="116" spans="1:17" ht="14.1" customHeight="1" x14ac:dyDescent="0.2">
      <c r="A116" s="61" t="s">
        <v>2</v>
      </c>
      <c r="B116" s="62">
        <f t="shared" ref="B116" si="180">+B115+B114</f>
        <v>888512.49</v>
      </c>
      <c r="C116" s="62">
        <f t="shared" ref="C116" si="181">+C115+C114</f>
        <v>724795.52</v>
      </c>
      <c r="D116" s="62">
        <f t="shared" ref="D116" si="182">+D115+D114</f>
        <v>920659.78</v>
      </c>
      <c r="E116" s="62">
        <f t="shared" ref="E116" si="183">+E115+E114</f>
        <v>885532.76</v>
      </c>
      <c r="F116" s="62">
        <f t="shared" ref="F116" si="184">+F115+F114</f>
        <v>1041141.77</v>
      </c>
      <c r="G116" s="62">
        <f t="shared" ref="G116" si="185">+G115+G114</f>
        <v>803353.35</v>
      </c>
      <c r="H116" s="62">
        <f t="shared" ref="H116" si="186">+H115+H114</f>
        <v>647033.60000000009</v>
      </c>
      <c r="I116" s="62">
        <f>+I115+I114</f>
        <v>648791.74</v>
      </c>
      <c r="J116" s="62">
        <f>+J115+J114</f>
        <v>648791.74</v>
      </c>
      <c r="K116" s="169"/>
      <c r="L116" s="62">
        <f>+L115+L114</f>
        <v>648791.74</v>
      </c>
      <c r="M116" s="1"/>
      <c r="N116" s="1"/>
      <c r="O116" s="1"/>
      <c r="P116" s="1"/>
      <c r="Q116" s="1"/>
    </row>
    <row r="117" spans="1:17" ht="14.1" customHeight="1" x14ac:dyDescent="0.2">
      <c r="A117" s="6" t="s">
        <v>86</v>
      </c>
      <c r="B117" s="55"/>
      <c r="C117" s="63"/>
      <c r="D117" s="56"/>
      <c r="E117" s="56"/>
      <c r="F117" s="56"/>
      <c r="G117" s="58"/>
      <c r="H117" s="58"/>
      <c r="I117" s="58"/>
      <c r="J117" s="58"/>
      <c r="K117" s="169"/>
      <c r="L117" s="58"/>
      <c r="M117" s="1"/>
      <c r="N117" s="1"/>
      <c r="O117" s="1"/>
      <c r="P117" s="1"/>
      <c r="Q117" s="1"/>
    </row>
    <row r="118" spans="1:17" ht="14.1" customHeight="1" x14ac:dyDescent="0.2">
      <c r="A118" s="5" t="s">
        <v>14</v>
      </c>
      <c r="B118" s="55"/>
      <c r="C118" s="63"/>
      <c r="D118" s="56"/>
      <c r="E118" s="56"/>
      <c r="F118" s="56"/>
      <c r="G118" s="58"/>
      <c r="H118" s="58">
        <v>40244.71</v>
      </c>
      <c r="I118" s="58">
        <v>40244.71</v>
      </c>
      <c r="J118" s="58">
        <v>50000</v>
      </c>
      <c r="K118" s="96" t="s">
        <v>195</v>
      </c>
      <c r="L118" s="58">
        <f>+J118-2000</f>
        <v>48000</v>
      </c>
      <c r="M118" s="1"/>
      <c r="N118" s="1"/>
      <c r="O118" s="1"/>
      <c r="P118" s="1"/>
      <c r="Q118" s="1"/>
    </row>
    <row r="119" spans="1:17" ht="14.1" customHeight="1" x14ac:dyDescent="0.2">
      <c r="A119" s="5" t="s">
        <v>15</v>
      </c>
      <c r="B119" s="55"/>
      <c r="C119" s="63"/>
      <c r="D119" s="56"/>
      <c r="E119" s="56"/>
      <c r="F119" s="56"/>
      <c r="G119" s="58"/>
      <c r="H119" s="58">
        <v>123000.62</v>
      </c>
      <c r="I119" s="58">
        <v>123000.62</v>
      </c>
      <c r="J119" s="58">
        <v>175000</v>
      </c>
      <c r="K119" s="96" t="s">
        <v>196</v>
      </c>
      <c r="L119" s="58">
        <f>+J119-4273</f>
        <v>170727</v>
      </c>
      <c r="M119" s="1"/>
      <c r="N119" s="1"/>
      <c r="O119" s="1"/>
      <c r="P119" s="1"/>
      <c r="Q119" s="1"/>
    </row>
    <row r="120" spans="1:17" ht="14.1" customHeight="1" x14ac:dyDescent="0.2">
      <c r="A120" s="61" t="s">
        <v>2</v>
      </c>
      <c r="B120" s="62">
        <f t="shared" ref="B120" si="187">+B119+B118</f>
        <v>0</v>
      </c>
      <c r="C120" s="62">
        <f t="shared" ref="C120" si="188">+C119+C118</f>
        <v>0</v>
      </c>
      <c r="D120" s="62">
        <f t="shared" ref="D120" si="189">+D119+D118</f>
        <v>0</v>
      </c>
      <c r="E120" s="62">
        <f t="shared" ref="E120" si="190">+E119+E118</f>
        <v>0</v>
      </c>
      <c r="F120" s="62">
        <f t="shared" ref="F120" si="191">+F119+F118</f>
        <v>0</v>
      </c>
      <c r="G120" s="62">
        <f t="shared" ref="G120" si="192">+G119+G118</f>
        <v>0</v>
      </c>
      <c r="H120" s="62">
        <f t="shared" ref="H120" si="193">+H119+H118</f>
        <v>163245.32999999999</v>
      </c>
      <c r="I120" s="62">
        <f>+I119+I118</f>
        <v>163245.32999999999</v>
      </c>
      <c r="J120" s="62">
        <f>+J119+J118</f>
        <v>225000</v>
      </c>
      <c r="K120" s="169"/>
      <c r="L120" s="62">
        <f>+L119+L118</f>
        <v>218727</v>
      </c>
      <c r="M120" s="1"/>
      <c r="N120" s="1"/>
      <c r="O120" s="1"/>
      <c r="P120" s="1"/>
      <c r="Q120" s="1"/>
    </row>
    <row r="121" spans="1:17" ht="14.1" customHeight="1" x14ac:dyDescent="0.2">
      <c r="A121" s="6" t="s">
        <v>27</v>
      </c>
      <c r="B121" s="55"/>
      <c r="C121" s="63"/>
      <c r="D121" s="56"/>
      <c r="E121" s="56"/>
      <c r="F121" s="56"/>
      <c r="G121" s="58"/>
      <c r="H121" s="58"/>
      <c r="I121" s="58"/>
      <c r="J121" s="58"/>
      <c r="K121" s="169"/>
      <c r="L121" s="58"/>
      <c r="M121" s="1"/>
      <c r="N121" s="1"/>
      <c r="O121" s="1"/>
      <c r="P121" s="1"/>
      <c r="Q121" s="1"/>
    </row>
    <row r="122" spans="1:17" ht="14.1" customHeight="1" x14ac:dyDescent="0.2">
      <c r="A122" s="5" t="s">
        <v>15</v>
      </c>
      <c r="B122" s="60">
        <v>50688.86</v>
      </c>
      <c r="C122" s="60">
        <v>58727.789999999994</v>
      </c>
      <c r="D122" s="56">
        <v>46467.199999999997</v>
      </c>
      <c r="E122" s="56">
        <v>35844.639999999999</v>
      </c>
      <c r="F122" s="56">
        <v>41542.9</v>
      </c>
      <c r="G122" s="58">
        <v>57349.56</v>
      </c>
      <c r="H122" s="58">
        <v>55849.56</v>
      </c>
      <c r="I122" s="58">
        <v>55849.56</v>
      </c>
      <c r="J122" s="58">
        <v>55849.56</v>
      </c>
      <c r="K122" s="169"/>
      <c r="L122" s="58">
        <v>55849.56</v>
      </c>
      <c r="M122" s="1"/>
      <c r="N122" s="1"/>
      <c r="O122" s="1"/>
      <c r="P122" s="1"/>
      <c r="Q122" s="1"/>
    </row>
    <row r="123" spans="1:17" ht="14.1" customHeight="1" x14ac:dyDescent="0.2">
      <c r="A123" s="61" t="s">
        <v>2</v>
      </c>
      <c r="B123" s="62">
        <f t="shared" ref="B123" si="194">+B122+B121</f>
        <v>50688.86</v>
      </c>
      <c r="C123" s="62">
        <f t="shared" ref="C123" si="195">+C122+C121</f>
        <v>58727.789999999994</v>
      </c>
      <c r="D123" s="62">
        <f t="shared" ref="D123" si="196">+D122+D121</f>
        <v>46467.199999999997</v>
      </c>
      <c r="E123" s="62">
        <f t="shared" ref="E123" si="197">+E122+E121</f>
        <v>35844.639999999999</v>
      </c>
      <c r="F123" s="62">
        <f t="shared" ref="F123" si="198">+F122+F121</f>
        <v>41542.9</v>
      </c>
      <c r="G123" s="62">
        <f t="shared" ref="G123" si="199">+G122+G121</f>
        <v>57349.56</v>
      </c>
      <c r="H123" s="62">
        <f t="shared" ref="H123" si="200">+H122+H121</f>
        <v>55849.56</v>
      </c>
      <c r="I123" s="62">
        <f>+I122+I121</f>
        <v>55849.56</v>
      </c>
      <c r="J123" s="62">
        <f>+J122+J121</f>
        <v>55849.56</v>
      </c>
      <c r="K123" s="169"/>
      <c r="L123" s="62">
        <f>+L122+L121</f>
        <v>55849.56</v>
      </c>
      <c r="M123" s="1"/>
      <c r="N123" s="1"/>
      <c r="O123" s="1"/>
      <c r="P123" s="1"/>
      <c r="Q123" s="1"/>
    </row>
    <row r="124" spans="1:17" ht="14.1" customHeight="1" x14ac:dyDescent="0.2">
      <c r="A124" s="6" t="s">
        <v>28</v>
      </c>
      <c r="B124" s="55"/>
      <c r="C124" s="63"/>
      <c r="D124" s="56"/>
      <c r="E124" s="56"/>
      <c r="F124" s="56"/>
      <c r="G124" s="58"/>
      <c r="H124" s="58"/>
      <c r="I124" s="58"/>
      <c r="J124" s="58"/>
      <c r="K124" s="169"/>
      <c r="L124" s="58"/>
      <c r="M124" s="1"/>
      <c r="N124" s="1"/>
      <c r="O124" s="1"/>
      <c r="P124" s="1"/>
      <c r="Q124" s="1"/>
    </row>
    <row r="125" spans="1:17" ht="14.1" customHeight="1" x14ac:dyDescent="0.2">
      <c r="A125" s="5" t="s">
        <v>0</v>
      </c>
      <c r="B125" s="55">
        <v>14616.65</v>
      </c>
      <c r="C125" s="63">
        <v>15732.25</v>
      </c>
      <c r="D125" s="56">
        <v>16446.8</v>
      </c>
      <c r="E125" s="56">
        <v>26080.92</v>
      </c>
      <c r="F125" s="56">
        <v>25183.18</v>
      </c>
      <c r="G125" s="58">
        <v>28368.48</v>
      </c>
      <c r="H125" s="58">
        <v>28388.48</v>
      </c>
      <c r="I125" s="58">
        <v>28932.48</v>
      </c>
      <c r="J125" s="58">
        <v>28932.48</v>
      </c>
      <c r="K125" s="169"/>
      <c r="L125" s="58">
        <v>28932.48</v>
      </c>
      <c r="M125" s="1"/>
      <c r="N125" s="1"/>
      <c r="O125" s="1"/>
      <c r="P125" s="1"/>
      <c r="Q125" s="1"/>
    </row>
    <row r="126" spans="1:17" ht="14.1" customHeight="1" x14ac:dyDescent="0.2">
      <c r="A126" s="5" t="s">
        <v>1</v>
      </c>
      <c r="B126" s="58">
        <v>86724.22</v>
      </c>
      <c r="C126" s="56">
        <v>93818.16</v>
      </c>
      <c r="D126" s="56">
        <v>85824.459999999992</v>
      </c>
      <c r="E126" s="56">
        <v>87432.35</v>
      </c>
      <c r="F126" s="56">
        <v>71006.14</v>
      </c>
      <c r="G126" s="58">
        <v>86633.18</v>
      </c>
      <c r="H126" s="58">
        <v>84883.18</v>
      </c>
      <c r="I126" s="58">
        <v>85023.18</v>
      </c>
      <c r="J126" s="58">
        <v>85023.18</v>
      </c>
      <c r="K126" s="169"/>
      <c r="L126" s="58">
        <v>85023.18</v>
      </c>
      <c r="M126" s="1"/>
      <c r="N126" s="1"/>
      <c r="O126" s="1"/>
      <c r="P126" s="1"/>
      <c r="Q126" s="1"/>
    </row>
    <row r="127" spans="1:17" ht="14.1" customHeight="1" x14ac:dyDescent="0.2">
      <c r="A127" s="61" t="s">
        <v>2</v>
      </c>
      <c r="B127" s="62">
        <f t="shared" ref="B127" si="201">+B126+B125</f>
        <v>101340.87</v>
      </c>
      <c r="C127" s="62">
        <f t="shared" ref="C127" si="202">+C126+C125</f>
        <v>109550.41</v>
      </c>
      <c r="D127" s="62">
        <f t="shared" ref="D127" si="203">+D126+D125</f>
        <v>102271.26</v>
      </c>
      <c r="E127" s="62">
        <f t="shared" ref="E127" si="204">+E126+E125</f>
        <v>113513.27</v>
      </c>
      <c r="F127" s="62">
        <f t="shared" ref="F127" si="205">+F126+F125</f>
        <v>96189.32</v>
      </c>
      <c r="G127" s="62">
        <f t="shared" ref="G127" si="206">+G126+G125</f>
        <v>115001.65999999999</v>
      </c>
      <c r="H127" s="62">
        <f t="shared" ref="H127" si="207">+H126+H125</f>
        <v>113271.65999999999</v>
      </c>
      <c r="I127" s="62">
        <f>+I126+I125</f>
        <v>113955.65999999999</v>
      </c>
      <c r="J127" s="62">
        <f>+J126+J125</f>
        <v>113955.65999999999</v>
      </c>
      <c r="K127" s="169"/>
      <c r="L127" s="62">
        <f>+L126+L125</f>
        <v>113955.65999999999</v>
      </c>
      <c r="M127" s="1"/>
      <c r="N127" s="1"/>
      <c r="O127" s="1"/>
      <c r="P127" s="1"/>
      <c r="Q127" s="1"/>
    </row>
    <row r="128" spans="1:17" s="7" customFormat="1" ht="14.1" customHeight="1" x14ac:dyDescent="0.2">
      <c r="A128" s="64" t="s">
        <v>61</v>
      </c>
      <c r="B128" s="65">
        <f t="shared" ref="B128:H128" si="208">+B127+B123+B120+B116</f>
        <v>1040542.22</v>
      </c>
      <c r="C128" s="65">
        <f t="shared" si="208"/>
        <v>893073.72</v>
      </c>
      <c r="D128" s="65">
        <f t="shared" si="208"/>
        <v>1069398.24</v>
      </c>
      <c r="E128" s="65">
        <f t="shared" si="208"/>
        <v>1034890.67</v>
      </c>
      <c r="F128" s="65">
        <f t="shared" si="208"/>
        <v>1178873.99</v>
      </c>
      <c r="G128" s="65">
        <f t="shared" si="208"/>
        <v>975704.57</v>
      </c>
      <c r="H128" s="65">
        <f t="shared" si="208"/>
        <v>979400.15</v>
      </c>
      <c r="I128" s="65">
        <f>+I127+I123+I120+I116</f>
        <v>981842.28999999992</v>
      </c>
      <c r="J128" s="65">
        <f>+J127+J123+J120+J116</f>
        <v>1043596.96</v>
      </c>
      <c r="K128" s="169"/>
      <c r="L128" s="65">
        <f>+L127+L123+L120+L116</f>
        <v>1037323.96</v>
      </c>
    </row>
    <row r="129" spans="1:17" ht="14.1" customHeight="1" x14ac:dyDescent="0.2">
      <c r="A129" s="5"/>
      <c r="B129" s="55"/>
      <c r="C129" s="63"/>
      <c r="D129" s="56"/>
      <c r="E129" s="56"/>
      <c r="F129" s="56"/>
      <c r="G129" s="58"/>
      <c r="H129" s="58"/>
      <c r="I129" s="58"/>
      <c r="J129" s="58"/>
      <c r="K129" s="169"/>
      <c r="L129" s="58"/>
      <c r="M129" s="1"/>
      <c r="N129" s="1"/>
      <c r="O129" s="1"/>
      <c r="P129" s="1"/>
      <c r="Q129" s="1"/>
    </row>
    <row r="130" spans="1:17" ht="14.1" customHeight="1" x14ac:dyDescent="0.2">
      <c r="A130" s="4" t="s">
        <v>49</v>
      </c>
      <c r="B130" s="67"/>
      <c r="C130" s="68"/>
      <c r="D130" s="68"/>
      <c r="E130" s="68"/>
      <c r="F130" s="68"/>
      <c r="G130" s="68"/>
      <c r="H130" s="68"/>
      <c r="I130" s="68"/>
      <c r="J130" s="68"/>
      <c r="K130" s="169"/>
      <c r="L130" s="68"/>
      <c r="M130" s="1"/>
      <c r="N130" s="1"/>
      <c r="O130" s="1"/>
      <c r="P130" s="1"/>
      <c r="Q130" s="1"/>
    </row>
    <row r="131" spans="1:17" ht="14.1" customHeight="1" x14ac:dyDescent="0.2">
      <c r="A131" s="6" t="s">
        <v>29</v>
      </c>
      <c r="B131" s="55"/>
      <c r="C131" s="63"/>
      <c r="D131" s="56"/>
      <c r="E131" s="56"/>
      <c r="F131" s="56"/>
      <c r="G131" s="58"/>
      <c r="H131" s="58"/>
      <c r="I131" s="58"/>
      <c r="J131" s="58"/>
      <c r="K131" s="169"/>
      <c r="L131" s="58"/>
      <c r="M131" s="1"/>
      <c r="N131" s="1"/>
      <c r="O131" s="1"/>
      <c r="P131" s="1"/>
      <c r="Q131" s="1"/>
    </row>
    <row r="132" spans="1:17" ht="14.1" customHeight="1" x14ac:dyDescent="0.2">
      <c r="A132" s="5" t="s">
        <v>0</v>
      </c>
      <c r="B132" s="55">
        <v>96452.65</v>
      </c>
      <c r="C132" s="63">
        <v>102744.77</v>
      </c>
      <c r="D132" s="56">
        <v>105286.38</v>
      </c>
      <c r="E132" s="56">
        <v>111279.83</v>
      </c>
      <c r="F132" s="56">
        <v>103726.09</v>
      </c>
      <c r="G132" s="58">
        <v>122354.57</v>
      </c>
      <c r="H132" s="58">
        <v>124092.8</v>
      </c>
      <c r="I132" s="58">
        <v>130550.56</v>
      </c>
      <c r="J132" s="58">
        <v>130550.56</v>
      </c>
      <c r="K132" s="169"/>
      <c r="L132" s="58">
        <v>130550.56</v>
      </c>
      <c r="M132" s="1">
        <f>+J132-H132</f>
        <v>6457.7599999999948</v>
      </c>
      <c r="N132" s="1"/>
      <c r="O132" s="1"/>
      <c r="P132" s="1"/>
      <c r="Q132" s="1"/>
    </row>
    <row r="133" spans="1:17" ht="14.1" customHeight="1" x14ac:dyDescent="0.2">
      <c r="A133" s="5" t="s">
        <v>1</v>
      </c>
      <c r="B133" s="55">
        <v>6264.04</v>
      </c>
      <c r="C133" s="63">
        <v>5082.3999999999996</v>
      </c>
      <c r="D133" s="56">
        <v>5270.66</v>
      </c>
      <c r="E133" s="56">
        <v>6715.15</v>
      </c>
      <c r="F133" s="56">
        <v>6447.01</v>
      </c>
      <c r="G133" s="58">
        <v>6905</v>
      </c>
      <c r="H133" s="58">
        <v>7225</v>
      </c>
      <c r="I133" s="58">
        <v>7215</v>
      </c>
      <c r="J133" s="58">
        <v>7215</v>
      </c>
      <c r="K133" s="169"/>
      <c r="L133" s="58">
        <v>7215</v>
      </c>
      <c r="M133" s="1"/>
      <c r="N133" s="1"/>
      <c r="O133" s="1"/>
      <c r="P133" s="1"/>
      <c r="Q133" s="1"/>
    </row>
    <row r="134" spans="1:17" ht="14.1" customHeight="1" x14ac:dyDescent="0.2">
      <c r="A134" s="61" t="s">
        <v>2</v>
      </c>
      <c r="B134" s="62">
        <f t="shared" ref="B134" si="209">+B133+B132</f>
        <v>102716.68999999999</v>
      </c>
      <c r="C134" s="62">
        <f t="shared" ref="C134" si="210">+C133+C132</f>
        <v>107827.17</v>
      </c>
      <c r="D134" s="62">
        <f t="shared" ref="D134" si="211">+D133+D132</f>
        <v>110557.04000000001</v>
      </c>
      <c r="E134" s="62">
        <f t="shared" ref="E134" si="212">+E133+E132</f>
        <v>117994.98</v>
      </c>
      <c r="F134" s="62">
        <f t="shared" ref="F134" si="213">+F133+F132</f>
        <v>110173.09999999999</v>
      </c>
      <c r="G134" s="62">
        <f t="shared" ref="G134" si="214">+G133+G132</f>
        <v>129259.57</v>
      </c>
      <c r="H134" s="62">
        <f t="shared" ref="H134" si="215">+H133+H132</f>
        <v>131317.79999999999</v>
      </c>
      <c r="I134" s="62">
        <f>+I133+I132</f>
        <v>137765.56</v>
      </c>
      <c r="J134" s="62">
        <f>+J133+J132</f>
        <v>137765.56</v>
      </c>
      <c r="K134" s="169"/>
      <c r="L134" s="62">
        <f>+L133+L132</f>
        <v>137765.56</v>
      </c>
      <c r="M134" s="1"/>
      <c r="N134" s="1"/>
      <c r="O134" s="1"/>
      <c r="P134" s="1"/>
      <c r="Q134" s="1"/>
    </row>
    <row r="135" spans="1:17" ht="14.1" customHeight="1" x14ac:dyDescent="0.2">
      <c r="A135" s="6" t="s">
        <v>30</v>
      </c>
      <c r="B135" s="55"/>
      <c r="C135" s="63"/>
      <c r="D135" s="56"/>
      <c r="E135" s="56"/>
      <c r="F135" s="56"/>
      <c r="G135" s="58"/>
      <c r="H135" s="58"/>
      <c r="I135" s="58"/>
      <c r="J135" s="58"/>
      <c r="K135" s="169"/>
      <c r="L135" s="58"/>
      <c r="M135" s="1"/>
      <c r="N135" s="1"/>
      <c r="O135" s="1"/>
      <c r="P135" s="1"/>
      <c r="Q135" s="1"/>
    </row>
    <row r="136" spans="1:17" ht="14.1" customHeight="1" x14ac:dyDescent="0.2">
      <c r="A136" s="5" t="s">
        <v>0</v>
      </c>
      <c r="B136" s="55">
        <v>49743.1</v>
      </c>
      <c r="C136" s="63">
        <v>53151.62</v>
      </c>
      <c r="D136" s="56">
        <v>56387.07</v>
      </c>
      <c r="E136" s="56">
        <v>63631.29</v>
      </c>
      <c r="F136" s="56">
        <v>84512.16</v>
      </c>
      <c r="G136" s="58">
        <v>92998.23</v>
      </c>
      <c r="H136" s="58">
        <v>95691</v>
      </c>
      <c r="I136" s="58">
        <v>101546.72</v>
      </c>
      <c r="J136" s="58">
        <v>101546.72</v>
      </c>
      <c r="K136" s="169"/>
      <c r="L136" s="58">
        <v>101546.72</v>
      </c>
      <c r="M136" s="1">
        <f>+J136-H136</f>
        <v>5855.7200000000012</v>
      </c>
      <c r="N136" s="1"/>
      <c r="O136" s="1"/>
      <c r="P136" s="1"/>
      <c r="Q136" s="1"/>
    </row>
    <row r="137" spans="1:17" ht="14.1" customHeight="1" x14ac:dyDescent="0.2">
      <c r="A137" s="5" t="s">
        <v>1</v>
      </c>
      <c r="B137" s="55">
        <v>8428.27</v>
      </c>
      <c r="C137" s="63">
        <v>8434</v>
      </c>
      <c r="D137" s="56">
        <v>8434</v>
      </c>
      <c r="E137" s="56">
        <v>8434</v>
      </c>
      <c r="F137" s="56">
        <v>8345.99</v>
      </c>
      <c r="G137" s="58">
        <v>8434</v>
      </c>
      <c r="H137" s="58">
        <v>8434</v>
      </c>
      <c r="I137" s="58">
        <v>8434</v>
      </c>
      <c r="J137" s="58">
        <v>8434</v>
      </c>
      <c r="K137" s="169"/>
      <c r="L137" s="58">
        <v>8434</v>
      </c>
      <c r="M137" s="1"/>
      <c r="N137" s="1"/>
      <c r="O137" s="1"/>
      <c r="P137" s="1"/>
      <c r="Q137" s="1"/>
    </row>
    <row r="138" spans="1:17" ht="14.1" customHeight="1" x14ac:dyDescent="0.2">
      <c r="A138" s="61" t="s">
        <v>2</v>
      </c>
      <c r="B138" s="62">
        <f t="shared" ref="B138" si="216">+B137+B136</f>
        <v>58171.369999999995</v>
      </c>
      <c r="C138" s="62">
        <f t="shared" ref="C138" si="217">+C137+C136</f>
        <v>61585.62</v>
      </c>
      <c r="D138" s="62">
        <f t="shared" ref="D138" si="218">+D137+D136</f>
        <v>64821.07</v>
      </c>
      <c r="E138" s="62">
        <f t="shared" ref="E138" si="219">+E137+E136</f>
        <v>72065.290000000008</v>
      </c>
      <c r="F138" s="62">
        <f t="shared" ref="F138" si="220">+F137+F136</f>
        <v>92858.150000000009</v>
      </c>
      <c r="G138" s="62">
        <f t="shared" ref="G138" si="221">+G137+G136</f>
        <v>101432.23</v>
      </c>
      <c r="H138" s="62">
        <f t="shared" ref="H138" si="222">+H137+H136</f>
        <v>104125</v>
      </c>
      <c r="I138" s="62">
        <f>+I137+I136</f>
        <v>109980.72</v>
      </c>
      <c r="J138" s="62">
        <f>+J137+J136</f>
        <v>109980.72</v>
      </c>
      <c r="K138" s="169"/>
      <c r="L138" s="62">
        <f>+L137+L136</f>
        <v>109980.72</v>
      </c>
      <c r="M138" s="1"/>
      <c r="N138" s="1"/>
      <c r="O138" s="1"/>
      <c r="P138" s="1"/>
      <c r="Q138" s="1"/>
    </row>
    <row r="139" spans="1:17" ht="14.1" customHeight="1" x14ac:dyDescent="0.2">
      <c r="A139" s="6" t="s">
        <v>31</v>
      </c>
      <c r="B139" s="55"/>
      <c r="C139" s="63"/>
      <c r="D139" s="56"/>
      <c r="E139" s="56"/>
      <c r="F139" s="56"/>
      <c r="G139" s="58"/>
      <c r="H139" s="58"/>
      <c r="I139" s="58"/>
      <c r="J139" s="58"/>
      <c r="K139" s="169"/>
      <c r="L139" s="58"/>
      <c r="M139" s="1"/>
      <c r="N139" s="1"/>
      <c r="O139" s="1"/>
      <c r="P139" s="1"/>
      <c r="Q139" s="1"/>
    </row>
    <row r="140" spans="1:17" ht="14.1" customHeight="1" x14ac:dyDescent="0.2">
      <c r="A140" s="5" t="s">
        <v>0</v>
      </c>
      <c r="B140" s="55">
        <v>3344</v>
      </c>
      <c r="C140" s="63">
        <v>3501.96</v>
      </c>
      <c r="D140" s="56">
        <v>3618.41</v>
      </c>
      <c r="E140" s="56">
        <v>3691</v>
      </c>
      <c r="F140" s="56">
        <v>3764.82</v>
      </c>
      <c r="G140" s="58">
        <v>3764.82</v>
      </c>
      <c r="H140" s="58">
        <v>10513</v>
      </c>
      <c r="I140" s="58">
        <v>10712</v>
      </c>
      <c r="J140" s="58">
        <v>10712</v>
      </c>
      <c r="K140" s="169"/>
      <c r="L140" s="58">
        <v>10712</v>
      </c>
      <c r="M140" s="1">
        <f>+J140-H140</f>
        <v>199</v>
      </c>
      <c r="N140" s="1"/>
      <c r="O140" s="1"/>
      <c r="P140" s="1"/>
      <c r="Q140" s="1"/>
    </row>
    <row r="141" spans="1:17" ht="14.1" customHeight="1" x14ac:dyDescent="0.2">
      <c r="A141" s="5" t="s">
        <v>1</v>
      </c>
      <c r="B141" s="55">
        <v>8520</v>
      </c>
      <c r="C141" s="63">
        <v>10883.49</v>
      </c>
      <c r="D141" s="56">
        <v>34117.68</v>
      </c>
      <c r="E141" s="56">
        <v>48964.68</v>
      </c>
      <c r="F141" s="56">
        <v>39623.160000000003</v>
      </c>
      <c r="G141" s="58">
        <v>38500.160000000003</v>
      </c>
      <c r="H141" s="58">
        <v>32500</v>
      </c>
      <c r="I141" s="58">
        <v>34050</v>
      </c>
      <c r="J141" s="58">
        <v>34050</v>
      </c>
      <c r="K141" s="169"/>
      <c r="L141" s="58">
        <v>34050</v>
      </c>
      <c r="M141" s="1"/>
      <c r="N141" s="1"/>
      <c r="O141" s="1"/>
      <c r="P141" s="1"/>
      <c r="Q141" s="1"/>
    </row>
    <row r="142" spans="1:17" ht="14.1" customHeight="1" x14ac:dyDescent="0.2">
      <c r="A142" s="61" t="s">
        <v>2</v>
      </c>
      <c r="B142" s="62">
        <f t="shared" ref="B142" si="223">+B141+B140</f>
        <v>11864</v>
      </c>
      <c r="C142" s="62">
        <f t="shared" ref="C142" si="224">+C141+C140</f>
        <v>14385.45</v>
      </c>
      <c r="D142" s="62">
        <f t="shared" ref="D142" si="225">+D141+D140</f>
        <v>37736.089999999997</v>
      </c>
      <c r="E142" s="62">
        <f t="shared" ref="E142" si="226">+E141+E140</f>
        <v>52655.68</v>
      </c>
      <c r="F142" s="62">
        <f t="shared" ref="F142" si="227">+F141+F140</f>
        <v>43387.98</v>
      </c>
      <c r="G142" s="62">
        <f t="shared" ref="G142" si="228">+G141+G140</f>
        <v>42264.98</v>
      </c>
      <c r="H142" s="62">
        <f t="shared" ref="H142" si="229">+H141+H140</f>
        <v>43013</v>
      </c>
      <c r="I142" s="62">
        <f>+I141+I140</f>
        <v>44762</v>
      </c>
      <c r="J142" s="62">
        <f>+J141+J140</f>
        <v>44762</v>
      </c>
      <c r="K142" s="169"/>
      <c r="L142" s="62">
        <f>+L141+L140</f>
        <v>44762</v>
      </c>
      <c r="M142" s="1"/>
      <c r="N142" s="1"/>
      <c r="O142" s="1"/>
      <c r="P142" s="1"/>
      <c r="Q142" s="1"/>
    </row>
    <row r="143" spans="1:17" s="7" customFormat="1" ht="13.5" customHeight="1" x14ac:dyDescent="0.2">
      <c r="A143" s="64" t="s">
        <v>146</v>
      </c>
      <c r="B143" s="65">
        <f>+B142+B138+B134</f>
        <v>172752.06</v>
      </c>
      <c r="C143" s="65">
        <f t="shared" ref="C143:J143" si="230">+C142+C138+C134</f>
        <v>183798.24</v>
      </c>
      <c r="D143" s="65">
        <f t="shared" si="230"/>
        <v>213114.2</v>
      </c>
      <c r="E143" s="65">
        <f t="shared" si="230"/>
        <v>242715.95</v>
      </c>
      <c r="F143" s="65">
        <f t="shared" si="230"/>
        <v>246419.22999999998</v>
      </c>
      <c r="G143" s="65">
        <f t="shared" si="230"/>
        <v>272956.78000000003</v>
      </c>
      <c r="H143" s="65">
        <f t="shared" si="230"/>
        <v>278455.8</v>
      </c>
      <c r="I143" s="65">
        <f t="shared" ref="I143" si="231">+I142+I138+I134</f>
        <v>292508.28000000003</v>
      </c>
      <c r="J143" s="65">
        <f t="shared" si="230"/>
        <v>292508.28000000003</v>
      </c>
      <c r="K143" s="169"/>
      <c r="L143" s="65">
        <f t="shared" ref="L143" si="232">+L142+L138+L134</f>
        <v>292508.28000000003</v>
      </c>
    </row>
    <row r="144" spans="1:17" ht="14.1" customHeight="1" x14ac:dyDescent="0.2">
      <c r="A144" s="5"/>
      <c r="B144" s="55"/>
      <c r="C144" s="63"/>
      <c r="D144" s="56"/>
      <c r="E144" s="56"/>
      <c r="F144" s="56"/>
      <c r="G144" s="58"/>
      <c r="H144" s="58"/>
      <c r="I144" s="58"/>
      <c r="J144" s="58"/>
      <c r="K144" s="169"/>
      <c r="L144" s="58"/>
      <c r="M144" s="1"/>
      <c r="N144" s="1"/>
      <c r="O144" s="1"/>
      <c r="P144" s="1"/>
      <c r="Q144" s="1"/>
    </row>
    <row r="145" spans="1:17" ht="14.1" customHeight="1" x14ac:dyDescent="0.2">
      <c r="A145" s="4" t="s">
        <v>50</v>
      </c>
      <c r="B145" s="67"/>
      <c r="C145" s="68"/>
      <c r="D145" s="68"/>
      <c r="E145" s="68"/>
      <c r="F145" s="68"/>
      <c r="G145" s="68"/>
      <c r="H145" s="68"/>
      <c r="I145" s="68"/>
      <c r="J145" s="68"/>
      <c r="K145" s="169"/>
      <c r="L145" s="68"/>
      <c r="M145" s="1"/>
      <c r="N145" s="1"/>
      <c r="O145" s="1"/>
      <c r="P145" s="1"/>
      <c r="Q145" s="1"/>
    </row>
    <row r="146" spans="1:17" ht="14.1" customHeight="1" x14ac:dyDescent="0.2">
      <c r="A146" s="6" t="s">
        <v>32</v>
      </c>
      <c r="B146" s="55"/>
      <c r="C146" s="63"/>
      <c r="D146" s="56"/>
      <c r="E146" s="56"/>
      <c r="F146" s="56"/>
      <c r="G146" s="58"/>
      <c r="H146" s="58"/>
      <c r="I146" s="58"/>
      <c r="J146" s="58"/>
      <c r="K146" s="169"/>
      <c r="L146" s="58"/>
      <c r="M146" s="1"/>
      <c r="N146" s="1"/>
      <c r="O146" s="1"/>
      <c r="P146" s="1"/>
      <c r="Q146" s="1"/>
    </row>
    <row r="147" spans="1:17" ht="14.1" customHeight="1" x14ac:dyDescent="0.2">
      <c r="A147" s="5" t="s">
        <v>1</v>
      </c>
      <c r="B147" s="55">
        <v>1264.9000000000001</v>
      </c>
      <c r="C147" s="63">
        <v>717.91</v>
      </c>
      <c r="D147" s="56">
        <v>959.65</v>
      </c>
      <c r="E147" s="56">
        <v>1828</v>
      </c>
      <c r="F147" s="56">
        <v>1828</v>
      </c>
      <c r="G147" s="56">
        <v>1828</v>
      </c>
      <c r="H147" s="56">
        <v>1828</v>
      </c>
      <c r="I147" s="56">
        <v>1828</v>
      </c>
      <c r="J147" s="56">
        <v>1828</v>
      </c>
      <c r="K147" s="169"/>
      <c r="L147" s="56">
        <v>1828</v>
      </c>
      <c r="M147" s="1">
        <f>+J147-H147</f>
        <v>0</v>
      </c>
      <c r="N147" s="1"/>
      <c r="O147" s="1"/>
      <c r="P147" s="1"/>
      <c r="Q147" s="1"/>
    </row>
    <row r="148" spans="1:17" ht="14.1" customHeight="1" x14ac:dyDescent="0.2">
      <c r="A148" s="61" t="s">
        <v>2</v>
      </c>
      <c r="B148" s="62">
        <f t="shared" ref="B148" si="233">+B147+B146</f>
        <v>1264.9000000000001</v>
      </c>
      <c r="C148" s="62">
        <f t="shared" ref="C148" si="234">+C147+C146</f>
        <v>717.91</v>
      </c>
      <c r="D148" s="62">
        <f t="shared" ref="D148" si="235">+D147+D146</f>
        <v>959.65</v>
      </c>
      <c r="E148" s="62">
        <f t="shared" ref="E148" si="236">+E147+E146</f>
        <v>1828</v>
      </c>
      <c r="F148" s="62">
        <f t="shared" ref="F148" si="237">+F147+F146</f>
        <v>1828</v>
      </c>
      <c r="G148" s="62">
        <f t="shared" ref="G148" si="238">+G147+G146</f>
        <v>1828</v>
      </c>
      <c r="H148" s="62">
        <f t="shared" ref="H148" si="239">+H147+H146</f>
        <v>1828</v>
      </c>
      <c r="I148" s="62">
        <f>+I147+I146</f>
        <v>1828</v>
      </c>
      <c r="J148" s="62">
        <f>+J147+J146</f>
        <v>1828</v>
      </c>
      <c r="K148" s="169"/>
      <c r="L148" s="62">
        <f>+L147+L146</f>
        <v>1828</v>
      </c>
      <c r="M148" s="1"/>
      <c r="N148" s="1"/>
      <c r="O148" s="1"/>
      <c r="P148" s="1"/>
      <c r="Q148" s="1"/>
    </row>
    <row r="149" spans="1:17" ht="14.1" customHeight="1" x14ac:dyDescent="0.2">
      <c r="A149" s="6" t="s">
        <v>33</v>
      </c>
      <c r="B149" s="55"/>
      <c r="C149" s="63"/>
      <c r="D149" s="56"/>
      <c r="E149" s="56"/>
      <c r="F149" s="56"/>
      <c r="I149" s="56"/>
      <c r="J149" s="56"/>
      <c r="K149" s="169"/>
      <c r="L149" s="56"/>
      <c r="M149" s="1"/>
      <c r="N149" s="1"/>
      <c r="O149" s="1"/>
      <c r="P149" s="1"/>
      <c r="Q149" s="1"/>
    </row>
    <row r="150" spans="1:17" ht="14.1" customHeight="1" x14ac:dyDescent="0.2">
      <c r="A150" s="5" t="s">
        <v>1</v>
      </c>
      <c r="B150" s="55">
        <v>1435</v>
      </c>
      <c r="C150" s="63">
        <v>1435</v>
      </c>
      <c r="D150" s="56">
        <v>3935</v>
      </c>
      <c r="E150" s="56">
        <v>3935</v>
      </c>
      <c r="F150" s="56">
        <v>3935</v>
      </c>
      <c r="G150" s="56">
        <v>3935</v>
      </c>
      <c r="H150" s="56">
        <v>4053</v>
      </c>
      <c r="I150" s="56">
        <v>4053</v>
      </c>
      <c r="J150" s="56">
        <v>4053</v>
      </c>
      <c r="K150" s="169"/>
      <c r="L150" s="56">
        <v>4053</v>
      </c>
      <c r="M150" s="1"/>
      <c r="N150" s="1"/>
      <c r="O150" s="1"/>
      <c r="P150" s="1"/>
      <c r="Q150" s="1"/>
    </row>
    <row r="151" spans="1:17" ht="14.1" customHeight="1" x14ac:dyDescent="0.2">
      <c r="A151" s="61" t="s">
        <v>2</v>
      </c>
      <c r="B151" s="62">
        <f t="shared" ref="B151" si="240">+B150+B149</f>
        <v>1435</v>
      </c>
      <c r="C151" s="62">
        <f t="shared" ref="C151" si="241">+C150+C149</f>
        <v>1435</v>
      </c>
      <c r="D151" s="62">
        <f t="shared" ref="D151" si="242">+D150+D149</f>
        <v>3935</v>
      </c>
      <c r="E151" s="62">
        <f t="shared" ref="E151" si="243">+E150+E149</f>
        <v>3935</v>
      </c>
      <c r="F151" s="62">
        <f t="shared" ref="F151" si="244">+F150+F149</f>
        <v>3935</v>
      </c>
      <c r="G151" s="62">
        <f t="shared" ref="G151" si="245">+G150+G149</f>
        <v>3935</v>
      </c>
      <c r="H151" s="62">
        <f t="shared" ref="H151" si="246">+H150+H149</f>
        <v>4053</v>
      </c>
      <c r="I151" s="62">
        <f>+I150+I149</f>
        <v>4053</v>
      </c>
      <c r="J151" s="62">
        <f>+J150+J149</f>
        <v>4053</v>
      </c>
      <c r="K151" s="169"/>
      <c r="L151" s="62">
        <f>+L150+L149</f>
        <v>4053</v>
      </c>
      <c r="M151" s="1"/>
      <c r="N151" s="1"/>
      <c r="O151" s="1"/>
      <c r="P151" s="1"/>
      <c r="Q151" s="1"/>
    </row>
    <row r="152" spans="1:17" ht="14.1" customHeight="1" x14ac:dyDescent="0.2">
      <c r="A152" s="6" t="s">
        <v>34</v>
      </c>
      <c r="B152" s="55"/>
      <c r="C152" s="63"/>
      <c r="D152" s="56"/>
      <c r="E152" s="56"/>
      <c r="F152" s="56"/>
      <c r="G152" s="58"/>
      <c r="H152" s="58"/>
      <c r="I152" s="58"/>
      <c r="J152" s="58"/>
      <c r="K152" s="169"/>
      <c r="L152" s="58"/>
      <c r="M152" s="1"/>
      <c r="N152" s="1"/>
      <c r="O152" s="1"/>
      <c r="P152" s="1"/>
      <c r="Q152" s="1"/>
    </row>
    <row r="153" spans="1:17" ht="14.1" customHeight="1" x14ac:dyDescent="0.2">
      <c r="A153" s="5" t="s">
        <v>0</v>
      </c>
      <c r="B153" s="55">
        <v>186304.15</v>
      </c>
      <c r="C153" s="63">
        <v>196743.94</v>
      </c>
      <c r="D153" s="56">
        <v>207958.25</v>
      </c>
      <c r="E153" s="56">
        <v>214224.56</v>
      </c>
      <c r="F153" s="56">
        <v>234388.58</v>
      </c>
      <c r="G153" s="58">
        <v>256249</v>
      </c>
      <c r="H153" s="58">
        <v>243652</v>
      </c>
      <c r="I153" s="58">
        <v>254529.05</v>
      </c>
      <c r="J153" s="58">
        <v>254529.05</v>
      </c>
      <c r="K153" s="169"/>
      <c r="L153" s="58">
        <v>254529.05</v>
      </c>
      <c r="M153" s="1">
        <f>+J153-H153</f>
        <v>10877.049999999988</v>
      </c>
      <c r="N153" s="1"/>
      <c r="O153" s="1"/>
      <c r="P153" s="1"/>
      <c r="Q153" s="1"/>
    </row>
    <row r="154" spans="1:17" ht="14.1" customHeight="1" x14ac:dyDescent="0.2">
      <c r="A154" s="5" t="s">
        <v>1</v>
      </c>
      <c r="B154" s="58">
        <v>112867.14</v>
      </c>
      <c r="C154" s="56">
        <v>113426.13</v>
      </c>
      <c r="D154" s="56">
        <v>116593.02</v>
      </c>
      <c r="E154" s="56">
        <v>124495.99</v>
      </c>
      <c r="F154" s="56">
        <v>121350.18999999999</v>
      </c>
      <c r="G154" s="58">
        <v>140522</v>
      </c>
      <c r="H154" s="58">
        <v>134468</v>
      </c>
      <c r="I154" s="58">
        <v>136104</v>
      </c>
      <c r="J154" s="58">
        <v>136104</v>
      </c>
      <c r="K154" s="169"/>
      <c r="L154" s="58">
        <v>136104</v>
      </c>
      <c r="M154" s="1"/>
      <c r="N154" s="1"/>
      <c r="O154" s="1"/>
      <c r="P154" s="1"/>
      <c r="Q154" s="1"/>
    </row>
    <row r="155" spans="1:17" ht="14.1" customHeight="1" x14ac:dyDescent="0.2">
      <c r="A155" s="61" t="s">
        <v>2</v>
      </c>
      <c r="B155" s="62">
        <f t="shared" ref="B155" si="247">+B154+B153</f>
        <v>299171.28999999998</v>
      </c>
      <c r="C155" s="62">
        <f t="shared" ref="C155" si="248">+C154+C153</f>
        <v>310170.07</v>
      </c>
      <c r="D155" s="62">
        <f t="shared" ref="D155" si="249">+D154+D153</f>
        <v>324551.27</v>
      </c>
      <c r="E155" s="62">
        <f t="shared" ref="E155" si="250">+E154+E153</f>
        <v>338720.55</v>
      </c>
      <c r="F155" s="62">
        <f t="shared" ref="F155" si="251">+F154+F153</f>
        <v>355738.76999999996</v>
      </c>
      <c r="G155" s="62">
        <f t="shared" ref="G155" si="252">+G154+G153</f>
        <v>396771</v>
      </c>
      <c r="H155" s="62">
        <f t="shared" ref="H155" si="253">+H154+H153</f>
        <v>378120</v>
      </c>
      <c r="I155" s="62">
        <f>+I154+I153</f>
        <v>390633.05</v>
      </c>
      <c r="J155" s="62">
        <f>+J154+J153</f>
        <v>390633.05</v>
      </c>
      <c r="K155" s="169"/>
      <c r="L155" s="62">
        <f>+L154+L153</f>
        <v>390633.05</v>
      </c>
      <c r="M155" s="1"/>
      <c r="N155" s="1"/>
      <c r="O155" s="1"/>
      <c r="P155" s="1"/>
      <c r="Q155" s="1"/>
    </row>
    <row r="156" spans="1:17" ht="14.1" customHeight="1" x14ac:dyDescent="0.2">
      <c r="A156" s="6" t="s">
        <v>56</v>
      </c>
      <c r="D156" s="56"/>
      <c r="E156" s="56"/>
      <c r="F156" s="56"/>
      <c r="G156" s="58"/>
      <c r="H156" s="58"/>
      <c r="I156" s="58"/>
      <c r="J156" s="58"/>
      <c r="K156" s="169"/>
      <c r="L156" s="58"/>
      <c r="M156" s="1"/>
      <c r="N156" s="1"/>
      <c r="O156" s="1"/>
      <c r="P156" s="1"/>
      <c r="Q156" s="1"/>
    </row>
    <row r="157" spans="1:17" ht="14.1" customHeight="1" x14ac:dyDescent="0.2">
      <c r="A157" s="5" t="s">
        <v>0</v>
      </c>
      <c r="B157" s="60">
        <v>18999</v>
      </c>
      <c r="C157" s="60">
        <v>20202.38</v>
      </c>
      <c r="D157" s="60">
        <v>20202.38</v>
      </c>
      <c r="E157" s="60">
        <v>20202.38</v>
      </c>
      <c r="F157" s="60">
        <v>20202</v>
      </c>
      <c r="G157" s="58">
        <v>20202</v>
      </c>
      <c r="H157" s="58">
        <v>31266.62</v>
      </c>
      <c r="I157" s="58">
        <v>31266.62</v>
      </c>
      <c r="J157" s="58">
        <v>31266.62</v>
      </c>
      <c r="K157" s="169"/>
      <c r="L157" s="58">
        <v>31266.62</v>
      </c>
      <c r="M157" s="1">
        <f>+J157-H157</f>
        <v>0</v>
      </c>
      <c r="N157" s="1"/>
      <c r="O157" s="1"/>
      <c r="P157" s="1"/>
      <c r="Q157" s="1"/>
    </row>
    <row r="158" spans="1:17" ht="14.1" customHeight="1" x14ac:dyDescent="0.2">
      <c r="A158" s="5" t="s">
        <v>1</v>
      </c>
      <c r="B158" s="60">
        <v>0</v>
      </c>
      <c r="C158" s="60">
        <v>0</v>
      </c>
      <c r="D158" s="60">
        <v>0</v>
      </c>
      <c r="E158" s="60">
        <v>0</v>
      </c>
      <c r="F158" s="60">
        <v>0</v>
      </c>
      <c r="G158" s="58">
        <v>1</v>
      </c>
      <c r="H158" s="58">
        <v>1</v>
      </c>
      <c r="I158" s="58">
        <v>0</v>
      </c>
      <c r="J158" s="58">
        <v>0</v>
      </c>
      <c r="K158" s="169"/>
      <c r="L158" s="58">
        <v>0</v>
      </c>
      <c r="M158" s="1"/>
      <c r="N158" s="1"/>
      <c r="O158" s="1"/>
      <c r="P158" s="1"/>
      <c r="Q158" s="1"/>
    </row>
    <row r="159" spans="1:17" ht="14.1" customHeight="1" x14ac:dyDescent="0.2">
      <c r="A159" s="61" t="s">
        <v>2</v>
      </c>
      <c r="B159" s="62">
        <f t="shared" ref="B159" si="254">+B158+B157</f>
        <v>18999</v>
      </c>
      <c r="C159" s="62">
        <f t="shared" ref="C159" si="255">+C158+C157</f>
        <v>20202.38</v>
      </c>
      <c r="D159" s="62">
        <f t="shared" ref="D159" si="256">+D158+D157</f>
        <v>20202.38</v>
      </c>
      <c r="E159" s="62">
        <f t="shared" ref="E159" si="257">+E158+E157</f>
        <v>20202.38</v>
      </c>
      <c r="F159" s="62">
        <f t="shared" ref="F159" si="258">+F158+F157</f>
        <v>20202</v>
      </c>
      <c r="G159" s="62">
        <f t="shared" ref="G159" si="259">+G158+G157</f>
        <v>20203</v>
      </c>
      <c r="H159" s="62">
        <f t="shared" ref="H159" si="260">+H158+H157</f>
        <v>31267.62</v>
      </c>
      <c r="I159" s="62">
        <f>+I158+I157</f>
        <v>31266.62</v>
      </c>
      <c r="J159" s="62">
        <f>+J158+J157</f>
        <v>31266.62</v>
      </c>
      <c r="K159" s="169"/>
      <c r="L159" s="62">
        <f>+L158+L157</f>
        <v>31266.62</v>
      </c>
      <c r="M159" s="1"/>
      <c r="N159" s="1"/>
      <c r="O159" s="1"/>
      <c r="P159" s="1"/>
      <c r="Q159" s="1"/>
    </row>
    <row r="160" spans="1:17" ht="14.1" customHeight="1" x14ac:dyDescent="0.2">
      <c r="A160" s="1" t="s">
        <v>35</v>
      </c>
      <c r="B160" s="55"/>
      <c r="C160" s="63"/>
      <c r="D160" s="56"/>
      <c r="E160" s="56"/>
      <c r="F160" s="56"/>
      <c r="G160" s="58"/>
      <c r="H160" s="58"/>
      <c r="I160" s="58"/>
      <c r="J160" s="58"/>
      <c r="K160" s="169"/>
      <c r="L160" s="58"/>
      <c r="M160" s="1"/>
      <c r="N160" s="1"/>
      <c r="O160" s="1"/>
      <c r="P160" s="1"/>
      <c r="Q160" s="1"/>
    </row>
    <row r="161" spans="1:17" ht="14.1" customHeight="1" x14ac:dyDescent="0.2">
      <c r="A161" s="5" t="s">
        <v>15</v>
      </c>
      <c r="B161" s="56">
        <v>5098.09</v>
      </c>
      <c r="C161" s="56">
        <v>6489.69</v>
      </c>
      <c r="D161" s="56">
        <v>3625.84</v>
      </c>
      <c r="E161" s="56">
        <v>6493</v>
      </c>
      <c r="F161" s="56">
        <v>6493</v>
      </c>
      <c r="G161" s="56">
        <v>6493</v>
      </c>
      <c r="H161" s="56">
        <v>6493</v>
      </c>
      <c r="I161" s="56">
        <v>6493</v>
      </c>
      <c r="J161" s="56">
        <v>6493</v>
      </c>
      <c r="K161" s="169"/>
      <c r="L161" s="56">
        <v>6493</v>
      </c>
      <c r="M161" s="1">
        <f>+J161-H161</f>
        <v>0</v>
      </c>
      <c r="N161" s="1"/>
      <c r="O161" s="1"/>
      <c r="P161" s="1"/>
      <c r="Q161" s="1"/>
    </row>
    <row r="162" spans="1:17" ht="14.1" customHeight="1" x14ac:dyDescent="0.2">
      <c r="A162" s="61" t="s">
        <v>2</v>
      </c>
      <c r="B162" s="62">
        <f t="shared" ref="B162" si="261">+B161+B160</f>
        <v>5098.09</v>
      </c>
      <c r="C162" s="62">
        <f t="shared" ref="C162" si="262">+C161+C160</f>
        <v>6489.69</v>
      </c>
      <c r="D162" s="62">
        <f t="shared" ref="D162" si="263">+D161+D160</f>
        <v>3625.84</v>
      </c>
      <c r="E162" s="62">
        <f t="shared" ref="E162" si="264">+E161+E160</f>
        <v>6493</v>
      </c>
      <c r="F162" s="62">
        <f t="shared" ref="F162" si="265">+F161+F160</f>
        <v>6493</v>
      </c>
      <c r="G162" s="62">
        <f t="shared" ref="G162" si="266">+G161+G160</f>
        <v>6493</v>
      </c>
      <c r="H162" s="62">
        <f t="shared" ref="H162" si="267">+H161+H160</f>
        <v>6493</v>
      </c>
      <c r="I162" s="62">
        <f>+I161+I160</f>
        <v>6493</v>
      </c>
      <c r="J162" s="62">
        <f>+J161+J160</f>
        <v>6493</v>
      </c>
      <c r="K162" s="169"/>
      <c r="L162" s="62">
        <f>+L161+L160</f>
        <v>6493</v>
      </c>
      <c r="M162" s="1"/>
      <c r="N162" s="1"/>
      <c r="O162" s="1"/>
      <c r="P162" s="1"/>
      <c r="Q162" s="1"/>
    </row>
    <row r="163" spans="1:17" ht="14.1" customHeight="1" x14ac:dyDescent="0.2">
      <c r="A163" s="1" t="s">
        <v>36</v>
      </c>
      <c r="B163" s="55"/>
      <c r="C163" s="63"/>
      <c r="D163" s="56"/>
      <c r="E163" s="56"/>
      <c r="F163" s="56"/>
      <c r="G163" s="58"/>
      <c r="H163" s="58"/>
      <c r="I163" s="58"/>
      <c r="J163" s="58"/>
      <c r="K163" s="169"/>
      <c r="L163" s="58"/>
      <c r="M163" s="1"/>
      <c r="N163" s="1"/>
      <c r="O163" s="1"/>
      <c r="P163" s="1"/>
      <c r="Q163" s="1"/>
    </row>
    <row r="164" spans="1:17" ht="14.1" customHeight="1" x14ac:dyDescent="0.2">
      <c r="A164" s="5" t="s">
        <v>15</v>
      </c>
      <c r="B164" s="56">
        <v>1620.43</v>
      </c>
      <c r="C164" s="56">
        <v>1626.46</v>
      </c>
      <c r="D164" s="56">
        <v>1636</v>
      </c>
      <c r="E164" s="56">
        <v>1632.92</v>
      </c>
      <c r="F164" s="56">
        <v>1636</v>
      </c>
      <c r="G164" s="56">
        <v>1636</v>
      </c>
      <c r="H164" s="56">
        <v>1636</v>
      </c>
      <c r="I164" s="56">
        <v>1636</v>
      </c>
      <c r="J164" s="56">
        <v>1636</v>
      </c>
      <c r="K164" s="169"/>
      <c r="L164" s="56">
        <v>1636</v>
      </c>
      <c r="M164" s="1"/>
      <c r="N164" s="1"/>
      <c r="O164" s="1"/>
      <c r="P164" s="1"/>
      <c r="Q164" s="1"/>
    </row>
    <row r="165" spans="1:17" ht="14.1" customHeight="1" x14ac:dyDescent="0.2">
      <c r="A165" s="61" t="s">
        <v>2</v>
      </c>
      <c r="B165" s="62">
        <f t="shared" ref="B165" si="268">+B164+B163</f>
        <v>1620.43</v>
      </c>
      <c r="C165" s="62">
        <f t="shared" ref="C165" si="269">+C164+C163</f>
        <v>1626.46</v>
      </c>
      <c r="D165" s="62">
        <f t="shared" ref="D165" si="270">+D164+D163</f>
        <v>1636</v>
      </c>
      <c r="E165" s="62">
        <f t="shared" ref="E165" si="271">+E164+E163</f>
        <v>1632.92</v>
      </c>
      <c r="F165" s="62">
        <f t="shared" ref="F165" si="272">+F164+F163</f>
        <v>1636</v>
      </c>
      <c r="G165" s="62">
        <f t="shared" ref="G165" si="273">+G164+G163</f>
        <v>1636</v>
      </c>
      <c r="H165" s="62">
        <f t="shared" ref="H165" si="274">+H164+H163</f>
        <v>1636</v>
      </c>
      <c r="I165" s="62">
        <f>+I164+I163</f>
        <v>1636</v>
      </c>
      <c r="J165" s="62">
        <f>+J164+J163</f>
        <v>1636</v>
      </c>
      <c r="K165" s="169"/>
      <c r="L165" s="62">
        <f>+L164+L163</f>
        <v>1636</v>
      </c>
      <c r="M165" s="1"/>
      <c r="N165" s="1"/>
      <c r="O165" s="1"/>
      <c r="P165" s="1"/>
      <c r="Q165" s="1"/>
    </row>
    <row r="166" spans="1:17" ht="14.1" customHeight="1" x14ac:dyDescent="0.2">
      <c r="A166" s="64" t="s">
        <v>63</v>
      </c>
      <c r="B166" s="65">
        <f t="shared" ref="B166:J166" si="275">+B165+B162+B159+B155+B151+B148</f>
        <v>327588.71000000002</v>
      </c>
      <c r="C166" s="65">
        <f t="shared" si="275"/>
        <v>340641.50999999995</v>
      </c>
      <c r="D166" s="65">
        <f t="shared" si="275"/>
        <v>354910.14</v>
      </c>
      <c r="E166" s="65">
        <f t="shared" si="275"/>
        <v>372811.85</v>
      </c>
      <c r="F166" s="65">
        <f t="shared" si="275"/>
        <v>389832.76999999996</v>
      </c>
      <c r="G166" s="65">
        <f t="shared" si="275"/>
        <v>430866</v>
      </c>
      <c r="H166" s="65">
        <f t="shared" si="275"/>
        <v>423397.62</v>
      </c>
      <c r="I166" s="65">
        <f t="shared" ref="I166" si="276">+I165+I162+I159+I155+I151+I148</f>
        <v>435909.67</v>
      </c>
      <c r="J166" s="65">
        <f t="shared" si="275"/>
        <v>435909.67</v>
      </c>
      <c r="K166" s="169"/>
      <c r="L166" s="65">
        <f t="shared" ref="L166" si="277">+L165+L162+L159+L155+L151+L148</f>
        <v>435909.67</v>
      </c>
      <c r="M166" s="1"/>
      <c r="N166" s="1"/>
      <c r="O166" s="1"/>
      <c r="P166" s="1"/>
      <c r="Q166" s="1"/>
    </row>
    <row r="167" spans="1:17" ht="14.1" customHeight="1" x14ac:dyDescent="0.2">
      <c r="A167" s="6"/>
      <c r="B167" s="55"/>
      <c r="C167" s="63"/>
      <c r="D167" s="56"/>
      <c r="E167" s="56"/>
      <c r="F167" s="56"/>
      <c r="G167" s="58"/>
      <c r="H167" s="58"/>
      <c r="I167" s="58"/>
      <c r="J167" s="58"/>
      <c r="K167" s="169"/>
      <c r="L167" s="58"/>
      <c r="M167" s="1"/>
      <c r="N167" s="1"/>
      <c r="O167" s="1"/>
      <c r="P167" s="1"/>
      <c r="Q167" s="1"/>
    </row>
    <row r="168" spans="1:17" ht="14.1" customHeight="1" x14ac:dyDescent="0.2">
      <c r="A168" s="4" t="s">
        <v>37</v>
      </c>
      <c r="B168" s="67"/>
      <c r="C168" s="68"/>
      <c r="D168" s="68"/>
      <c r="E168" s="68"/>
      <c r="F168" s="68"/>
      <c r="G168" s="68"/>
      <c r="H168" s="68"/>
      <c r="I168" s="68"/>
      <c r="J168" s="68"/>
      <c r="K168" s="169"/>
      <c r="L168" s="68"/>
      <c r="M168" s="1"/>
      <c r="N168" s="1"/>
      <c r="O168" s="1"/>
      <c r="P168" s="1"/>
      <c r="Q168" s="1"/>
    </row>
    <row r="169" spans="1:17" ht="14.1" customHeight="1" x14ac:dyDescent="0.2">
      <c r="A169" s="1" t="s">
        <v>38</v>
      </c>
      <c r="B169" s="56">
        <v>861259.5</v>
      </c>
      <c r="C169" s="56">
        <v>861259.5</v>
      </c>
      <c r="D169" s="56">
        <v>861259.5</v>
      </c>
      <c r="E169" s="56">
        <v>1122247.3400000001</v>
      </c>
      <c r="F169" s="56">
        <v>1052261.1299999999</v>
      </c>
      <c r="G169" s="58">
        <v>738505.08700000006</v>
      </c>
      <c r="H169" s="58">
        <v>1687211.32</v>
      </c>
      <c r="I169" s="58">
        <v>1950948.81</v>
      </c>
      <c r="J169" s="58">
        <v>1950948.81</v>
      </c>
      <c r="K169" s="169"/>
      <c r="L169" s="58">
        <v>1950948.81</v>
      </c>
      <c r="M169" s="1"/>
      <c r="N169" s="1"/>
      <c r="O169" s="1"/>
      <c r="P169" s="1"/>
      <c r="Q169" s="1"/>
    </row>
    <row r="170" spans="1:17" ht="14.1" customHeight="1" x14ac:dyDescent="0.2">
      <c r="A170" s="1" t="s">
        <v>39</v>
      </c>
      <c r="B170" s="56"/>
      <c r="C170" s="56"/>
      <c r="D170" s="56"/>
      <c r="G170" s="58">
        <v>274014.34999999998</v>
      </c>
      <c r="H170" s="58">
        <v>250273.75</v>
      </c>
      <c r="I170" s="58"/>
      <c r="J170" s="58"/>
      <c r="K170" s="169"/>
      <c r="L170" s="58"/>
      <c r="M170" s="1"/>
      <c r="N170" s="1"/>
      <c r="O170" s="1"/>
      <c r="P170" s="1"/>
      <c r="Q170" s="1"/>
    </row>
    <row r="171" spans="1:17" ht="14.1" customHeight="1" x14ac:dyDescent="0.2">
      <c r="A171" s="61" t="s">
        <v>2</v>
      </c>
      <c r="B171" s="62">
        <f t="shared" ref="B171" si="278">+B170+B169</f>
        <v>861259.5</v>
      </c>
      <c r="C171" s="62">
        <f t="shared" ref="C171" si="279">+C170+C169</f>
        <v>861259.5</v>
      </c>
      <c r="D171" s="62">
        <f t="shared" ref="D171" si="280">+D170+D169</f>
        <v>861259.5</v>
      </c>
      <c r="E171" s="62">
        <f t="shared" ref="E171" si="281">+E170+E169</f>
        <v>1122247.3400000001</v>
      </c>
      <c r="F171" s="62">
        <f t="shared" ref="F171" si="282">+F170+F169</f>
        <v>1052261.1299999999</v>
      </c>
      <c r="G171" s="62">
        <f t="shared" ref="G171" si="283">+G170+G169</f>
        <v>1012519.437</v>
      </c>
      <c r="H171" s="62">
        <f t="shared" ref="H171" si="284">+H170+H169</f>
        <v>1937485.07</v>
      </c>
      <c r="I171" s="62">
        <f>+I170+I169</f>
        <v>1950948.81</v>
      </c>
      <c r="J171" s="62">
        <f>+J170+J169</f>
        <v>1950948.81</v>
      </c>
      <c r="K171" s="169"/>
      <c r="L171" s="62">
        <f>+L170+L169</f>
        <v>1950948.81</v>
      </c>
      <c r="M171" s="1"/>
      <c r="N171" s="1"/>
      <c r="O171" s="1"/>
      <c r="P171" s="1"/>
      <c r="Q171" s="1"/>
    </row>
    <row r="172" spans="1:17" ht="14.1" customHeight="1" x14ac:dyDescent="0.2">
      <c r="A172" s="64" t="s">
        <v>64</v>
      </c>
      <c r="B172" s="65">
        <f t="shared" ref="B172:J172" si="285">+B171</f>
        <v>861259.5</v>
      </c>
      <c r="C172" s="65">
        <f t="shared" si="285"/>
        <v>861259.5</v>
      </c>
      <c r="D172" s="65">
        <f t="shared" si="285"/>
        <v>861259.5</v>
      </c>
      <c r="E172" s="65">
        <f t="shared" si="285"/>
        <v>1122247.3400000001</v>
      </c>
      <c r="F172" s="65">
        <f t="shared" si="285"/>
        <v>1052261.1299999999</v>
      </c>
      <c r="G172" s="65">
        <f t="shared" si="285"/>
        <v>1012519.437</v>
      </c>
      <c r="H172" s="65">
        <f t="shared" si="285"/>
        <v>1937485.07</v>
      </c>
      <c r="I172" s="65">
        <f t="shared" ref="I172" si="286">+I171</f>
        <v>1950948.81</v>
      </c>
      <c r="J172" s="65">
        <f t="shared" si="285"/>
        <v>1950948.81</v>
      </c>
      <c r="K172" s="169"/>
      <c r="L172" s="65">
        <f t="shared" ref="L172" si="287">+L171</f>
        <v>1950948.81</v>
      </c>
      <c r="M172" s="1"/>
      <c r="N172" s="1"/>
      <c r="O172" s="1"/>
      <c r="P172" s="1"/>
      <c r="Q172" s="1"/>
    </row>
    <row r="173" spans="1:17" ht="14.1" customHeight="1" x14ac:dyDescent="0.2">
      <c r="A173" s="3"/>
      <c r="B173" s="73"/>
      <c r="C173" s="73"/>
      <c r="D173" s="73"/>
      <c r="E173" s="73"/>
      <c r="F173" s="73"/>
      <c r="G173" s="73"/>
      <c r="H173" s="73"/>
      <c r="I173" s="2"/>
      <c r="J173" s="2"/>
      <c r="K173" s="169"/>
      <c r="L173" s="2"/>
      <c r="M173" s="1"/>
      <c r="N173" s="1"/>
      <c r="O173" s="1"/>
      <c r="P173" s="1"/>
      <c r="Q173" s="1"/>
    </row>
    <row r="174" spans="1:17" ht="18" customHeight="1" x14ac:dyDescent="0.2">
      <c r="A174" s="3" t="s">
        <v>51</v>
      </c>
      <c r="B174" s="74">
        <v>21487480.389999989</v>
      </c>
      <c r="C174" s="73">
        <v>21805230.515000001</v>
      </c>
      <c r="D174" s="75">
        <f t="shared" ref="D174:J174" si="288">+D172+D166+D143+D128+D110+D99+D68+D105</f>
        <v>23174103.579999998</v>
      </c>
      <c r="E174" s="75">
        <f t="shared" si="288"/>
        <v>24331280.530000001</v>
      </c>
      <c r="F174" s="75">
        <f t="shared" si="288"/>
        <v>25039496.699999996</v>
      </c>
      <c r="G174" s="75">
        <f t="shared" si="288"/>
        <v>26210635.401046</v>
      </c>
      <c r="H174" s="75">
        <f t="shared" si="288"/>
        <v>28230968.73</v>
      </c>
      <c r="I174" s="75">
        <f t="shared" ref="I174" si="289">+I172+I166+I143+I128+I110+I99+I68+I105</f>
        <v>29412903.84</v>
      </c>
      <c r="J174" s="75">
        <f t="shared" si="288"/>
        <v>29503138.100000001</v>
      </c>
      <c r="K174" s="169"/>
      <c r="L174" s="75">
        <f>+L172+L166+L143+L128+L110+L99+L68+L105</f>
        <v>29315941.066</v>
      </c>
      <c r="M174" s="1"/>
      <c r="N174" s="1"/>
      <c r="O174" s="1"/>
      <c r="P174" s="1"/>
      <c r="Q174" s="1"/>
    </row>
    <row r="175" spans="1:17" ht="14.1" customHeight="1" x14ac:dyDescent="0.2">
      <c r="A175" s="3"/>
      <c r="B175" s="58"/>
      <c r="D175" s="56"/>
      <c r="E175" s="56"/>
      <c r="F175" s="56"/>
      <c r="G175" s="58"/>
      <c r="H175" s="58"/>
      <c r="K175" s="97"/>
      <c r="M175" s="1"/>
      <c r="N175" s="1"/>
      <c r="O175" s="1"/>
      <c r="P175" s="1"/>
      <c r="Q175" s="1"/>
    </row>
    <row r="176" spans="1:17" ht="14.1" customHeight="1" x14ac:dyDescent="0.2">
      <c r="A176" s="7"/>
      <c r="B176" s="58"/>
      <c r="D176" s="56"/>
      <c r="E176" s="56"/>
      <c r="F176" s="58"/>
      <c r="G176" s="58"/>
      <c r="H176" s="79" t="s">
        <v>76</v>
      </c>
      <c r="I176" s="80">
        <v>7790.69</v>
      </c>
      <c r="J176" s="80">
        <v>7790.69</v>
      </c>
      <c r="K176" s="97"/>
      <c r="L176" s="80">
        <v>7790.69</v>
      </c>
      <c r="M176" s="1"/>
      <c r="N176" s="1"/>
      <c r="O176" s="1"/>
      <c r="P176" s="1"/>
      <c r="Q176" s="1"/>
    </row>
    <row r="177" spans="1:17" ht="14.1" customHeight="1" x14ac:dyDescent="0.2">
      <c r="A177" s="7"/>
      <c r="B177" s="58"/>
      <c r="C177" s="76"/>
      <c r="D177" s="63"/>
      <c r="E177" s="63"/>
      <c r="F177" s="75"/>
      <c r="G177" s="58"/>
      <c r="H177" s="58"/>
      <c r="K177" s="97"/>
      <c r="M177" s="1"/>
      <c r="N177" s="1"/>
      <c r="O177" s="1"/>
      <c r="P177" s="1"/>
      <c r="Q177" s="1"/>
    </row>
    <row r="178" spans="1:17" ht="14.1" customHeight="1" x14ac:dyDescent="0.3">
      <c r="A178" s="7"/>
      <c r="B178" s="75"/>
      <c r="C178" s="75"/>
      <c r="D178" s="56"/>
      <c r="E178" s="75"/>
      <c r="F178" s="79"/>
      <c r="G178" s="81"/>
      <c r="H178" s="81" t="s">
        <v>2</v>
      </c>
      <c r="I178" s="82">
        <f>+I176+I174</f>
        <v>29420694.530000001</v>
      </c>
      <c r="J178" s="82">
        <f>+J176+J174</f>
        <v>29510928.790000003</v>
      </c>
      <c r="K178" s="97"/>
      <c r="L178" s="82">
        <f>+L176+L174</f>
        <v>29323731.756000001</v>
      </c>
      <c r="M178" s="1"/>
      <c r="N178" s="1"/>
      <c r="O178" s="1"/>
      <c r="P178" s="1"/>
      <c r="Q178" s="1"/>
    </row>
    <row r="179" spans="1:17" ht="14.1" customHeight="1" x14ac:dyDescent="0.2">
      <c r="A179" s="7"/>
      <c r="C179" s="56"/>
      <c r="D179" s="56"/>
      <c r="E179" s="75"/>
      <c r="F179" s="75"/>
      <c r="G179" s="55"/>
      <c r="H179" s="55"/>
      <c r="K179" s="97"/>
      <c r="M179" s="1"/>
      <c r="N179" s="1"/>
      <c r="O179" s="1"/>
      <c r="P179" s="1"/>
      <c r="Q179" s="1"/>
    </row>
    <row r="180" spans="1:17" ht="14.1" customHeight="1" x14ac:dyDescent="0.2">
      <c r="A180" s="7"/>
      <c r="C180" s="56"/>
      <c r="D180" s="56"/>
      <c r="E180" s="75"/>
      <c r="F180" s="75"/>
      <c r="G180" s="55"/>
      <c r="H180" s="55"/>
      <c r="K180" s="97"/>
      <c r="M180" s="1"/>
      <c r="N180" s="1"/>
      <c r="O180" s="1"/>
      <c r="P180" s="1"/>
      <c r="Q180" s="1"/>
    </row>
    <row r="181" spans="1:17" ht="14.1" customHeight="1" x14ac:dyDescent="0.2">
      <c r="A181" s="7"/>
      <c r="C181" s="56"/>
      <c r="D181" s="56"/>
      <c r="E181" s="75"/>
      <c r="F181" s="75"/>
      <c r="G181" s="55"/>
      <c r="H181" s="55"/>
      <c r="K181" s="97"/>
      <c r="M181" s="1"/>
      <c r="N181" s="1"/>
      <c r="O181" s="1"/>
      <c r="P181" s="1"/>
      <c r="Q181" s="1"/>
    </row>
    <row r="182" spans="1:17" ht="14.1" customHeight="1" x14ac:dyDescent="0.2">
      <c r="A182" s="7"/>
      <c r="C182" s="56"/>
      <c r="D182" s="56"/>
      <c r="E182" s="75"/>
      <c r="F182" s="75"/>
      <c r="G182" s="55"/>
      <c r="H182" s="55"/>
      <c r="K182" s="97"/>
      <c r="M182" s="1"/>
      <c r="N182" s="1"/>
      <c r="O182" s="1"/>
      <c r="P182" s="1"/>
      <c r="Q182" s="1"/>
    </row>
    <row r="183" spans="1:17" ht="14.1" customHeight="1" x14ac:dyDescent="0.2">
      <c r="A183" s="7"/>
      <c r="D183" s="56"/>
      <c r="E183" s="75"/>
      <c r="F183" s="75"/>
      <c r="G183" s="55"/>
      <c r="H183" s="55"/>
      <c r="K183" s="97"/>
      <c r="M183" s="1"/>
      <c r="N183" s="1"/>
      <c r="O183" s="1"/>
      <c r="P183" s="1"/>
      <c r="Q183" s="1"/>
    </row>
    <row r="184" spans="1:17" ht="14.1" customHeight="1" x14ac:dyDescent="0.2">
      <c r="A184" s="7"/>
      <c r="B184" s="75"/>
      <c r="C184" s="75"/>
      <c r="D184" s="56"/>
      <c r="E184" s="75"/>
      <c r="F184" s="75"/>
      <c r="G184" s="55"/>
      <c r="H184" s="55"/>
      <c r="K184" s="97"/>
      <c r="M184" s="1"/>
      <c r="N184" s="1"/>
      <c r="O184" s="1"/>
      <c r="P184" s="1"/>
      <c r="Q184" s="1"/>
    </row>
    <row r="185" spans="1:17" ht="14.1" customHeight="1" x14ac:dyDescent="0.2">
      <c r="B185" s="76"/>
      <c r="D185" s="56"/>
      <c r="E185" s="75"/>
      <c r="F185" s="83"/>
      <c r="G185" s="55"/>
      <c r="H185" s="55"/>
      <c r="K185" s="97"/>
      <c r="M185" s="1"/>
      <c r="N185" s="1"/>
      <c r="O185" s="1"/>
      <c r="P185" s="1"/>
      <c r="Q185" s="1"/>
    </row>
    <row r="186" spans="1:17" ht="14.1" customHeight="1" x14ac:dyDescent="0.2">
      <c r="B186" s="84"/>
      <c r="D186" s="56"/>
      <c r="E186" s="83"/>
      <c r="F186" s="77"/>
      <c r="G186" s="55"/>
      <c r="H186" s="55"/>
      <c r="K186" s="97"/>
      <c r="M186" s="1"/>
      <c r="N186" s="1"/>
      <c r="O186" s="1"/>
      <c r="P186" s="1"/>
      <c r="Q186" s="1"/>
    </row>
    <row r="187" spans="1:17" ht="14.1" customHeight="1" x14ac:dyDescent="0.2">
      <c r="B187" s="85"/>
      <c r="D187" s="56"/>
      <c r="E187" s="77"/>
      <c r="F187" s="77"/>
      <c r="G187" s="55"/>
      <c r="H187" s="55"/>
      <c r="K187" s="97"/>
      <c r="M187" s="1"/>
      <c r="N187" s="1"/>
      <c r="O187" s="1"/>
      <c r="P187" s="1"/>
      <c r="Q187" s="1"/>
    </row>
    <row r="188" spans="1:17" ht="14.1" customHeight="1" x14ac:dyDescent="0.2">
      <c r="B188" s="85"/>
      <c r="D188" s="56"/>
      <c r="E188" s="77"/>
      <c r="F188" s="77"/>
      <c r="G188" s="55"/>
      <c r="H188" s="55"/>
      <c r="K188" s="97"/>
      <c r="M188" s="1"/>
      <c r="N188" s="1"/>
      <c r="O188" s="1"/>
      <c r="P188" s="1"/>
      <c r="Q188" s="1"/>
    </row>
    <row r="189" spans="1:17" ht="14.1" customHeight="1" x14ac:dyDescent="0.2">
      <c r="B189" s="77"/>
      <c r="D189" s="56"/>
      <c r="E189" s="77"/>
      <c r="F189" s="63"/>
      <c r="G189" s="55"/>
      <c r="H189" s="55"/>
      <c r="K189" s="97"/>
      <c r="M189" s="1"/>
      <c r="N189" s="1"/>
      <c r="O189" s="1"/>
      <c r="P189" s="1"/>
      <c r="Q189" s="1"/>
    </row>
    <row r="190" spans="1:17" ht="14.1" customHeight="1" x14ac:dyDescent="0.2">
      <c r="B190" s="75"/>
      <c r="C190" s="63"/>
      <c r="D190" s="56"/>
      <c r="E190" s="63"/>
      <c r="F190" s="63"/>
      <c r="G190" s="55"/>
      <c r="H190" s="55"/>
      <c r="K190" s="97"/>
      <c r="M190" s="1"/>
      <c r="N190" s="1"/>
      <c r="O190" s="1"/>
      <c r="P190" s="1"/>
      <c r="Q190" s="1"/>
    </row>
    <row r="191" spans="1:17" ht="14.1" customHeight="1" x14ac:dyDescent="0.2">
      <c r="B191" s="75"/>
      <c r="C191" s="63"/>
      <c r="D191" s="56"/>
      <c r="E191" s="63"/>
      <c r="F191" s="63"/>
      <c r="G191" s="55"/>
      <c r="H191" s="55"/>
      <c r="K191" s="97"/>
      <c r="M191" s="1"/>
      <c r="N191" s="1"/>
      <c r="O191" s="1"/>
      <c r="P191" s="1"/>
      <c r="Q191" s="1"/>
    </row>
    <row r="192" spans="1:17" ht="14.1" customHeight="1" x14ac:dyDescent="0.2">
      <c r="B192" s="79"/>
      <c r="C192" s="63"/>
      <c r="D192" s="56"/>
      <c r="E192" s="63"/>
      <c r="F192" s="63"/>
      <c r="G192" s="55"/>
      <c r="H192" s="55"/>
      <c r="K192" s="97"/>
      <c r="M192" s="1"/>
      <c r="N192" s="1"/>
      <c r="O192" s="1"/>
      <c r="P192" s="1"/>
      <c r="Q192" s="1"/>
    </row>
    <row r="193" spans="1:17" ht="14.1" customHeight="1" x14ac:dyDescent="0.2">
      <c r="B193" s="79"/>
      <c r="C193" s="63"/>
      <c r="D193" s="56"/>
      <c r="E193" s="63"/>
      <c r="F193" s="63"/>
      <c r="G193" s="55"/>
      <c r="H193" s="55"/>
      <c r="K193" s="97"/>
      <c r="M193" s="1"/>
      <c r="N193" s="1"/>
      <c r="O193" s="1"/>
      <c r="P193" s="1"/>
      <c r="Q193" s="1"/>
    </row>
    <row r="194" spans="1:17" ht="14.1" customHeight="1" x14ac:dyDescent="0.2">
      <c r="A194" s="7"/>
      <c r="B194" s="86"/>
      <c r="C194" s="63"/>
      <c r="D194" s="56"/>
      <c r="E194" s="63"/>
      <c r="F194" s="63"/>
      <c r="G194" s="55"/>
      <c r="H194" s="55"/>
      <c r="K194" s="97"/>
      <c r="M194" s="1"/>
      <c r="N194" s="1"/>
      <c r="O194" s="1"/>
      <c r="P194" s="1"/>
      <c r="Q194" s="1"/>
    </row>
    <row r="195" spans="1:17" ht="14.1" customHeight="1" x14ac:dyDescent="0.2">
      <c r="A195" s="8"/>
      <c r="B195" s="86"/>
      <c r="C195" s="63"/>
      <c r="D195" s="56"/>
      <c r="E195" s="63"/>
      <c r="F195" s="63"/>
      <c r="G195" s="55"/>
      <c r="H195" s="55"/>
      <c r="K195" s="97"/>
      <c r="M195" s="1"/>
      <c r="N195" s="1"/>
      <c r="O195" s="1"/>
      <c r="P195" s="1"/>
      <c r="Q195" s="1"/>
    </row>
    <row r="196" spans="1:17" ht="14.1" customHeight="1" x14ac:dyDescent="0.2">
      <c r="A196" s="8"/>
      <c r="B196" s="86"/>
      <c r="C196" s="63"/>
      <c r="D196" s="56"/>
      <c r="E196" s="63"/>
      <c r="F196" s="63"/>
      <c r="G196" s="55"/>
      <c r="H196" s="55"/>
      <c r="K196" s="97"/>
      <c r="M196" s="1"/>
      <c r="N196" s="1"/>
      <c r="O196" s="1"/>
      <c r="P196" s="1"/>
      <c r="Q196" s="1"/>
    </row>
    <row r="197" spans="1:17" ht="14.1" customHeight="1" x14ac:dyDescent="0.2">
      <c r="A197" s="8"/>
      <c r="B197" s="55"/>
      <c r="C197" s="63"/>
      <c r="D197" s="56"/>
      <c r="E197" s="63"/>
      <c r="F197" s="63"/>
      <c r="G197" s="55"/>
      <c r="H197" s="55"/>
      <c r="K197" s="97"/>
      <c r="M197" s="1"/>
      <c r="N197" s="1"/>
      <c r="O197" s="1"/>
      <c r="P197" s="1"/>
      <c r="Q197" s="1"/>
    </row>
    <row r="198" spans="1:17" ht="14.1" customHeight="1" x14ac:dyDescent="0.2">
      <c r="A198" s="9"/>
      <c r="B198" s="55"/>
      <c r="C198" s="63"/>
      <c r="D198" s="56"/>
      <c r="E198" s="63"/>
      <c r="F198" s="63"/>
      <c r="G198" s="55"/>
      <c r="H198" s="55"/>
      <c r="K198" s="97"/>
      <c r="M198" s="1"/>
      <c r="N198" s="1"/>
      <c r="O198" s="1"/>
      <c r="P198" s="1"/>
      <c r="Q198" s="1"/>
    </row>
    <row r="199" spans="1:17" ht="14.1" customHeight="1" x14ac:dyDescent="0.2">
      <c r="A199" s="10"/>
      <c r="B199" s="55"/>
      <c r="C199" s="63"/>
      <c r="D199" s="56"/>
      <c r="E199" s="63"/>
      <c r="F199" s="63"/>
      <c r="G199" s="55"/>
      <c r="H199" s="55"/>
      <c r="K199" s="97"/>
      <c r="M199" s="1"/>
      <c r="N199" s="1"/>
      <c r="O199" s="1"/>
      <c r="P199" s="1"/>
      <c r="Q199" s="1"/>
    </row>
    <row r="200" spans="1:17" ht="14.1" customHeight="1" x14ac:dyDescent="0.2">
      <c r="A200" s="10"/>
      <c r="B200" s="55"/>
      <c r="C200" s="63"/>
      <c r="D200" s="56"/>
      <c r="E200" s="63"/>
      <c r="F200" s="63"/>
      <c r="G200" s="55"/>
      <c r="H200" s="55"/>
      <c r="K200" s="97"/>
      <c r="M200" s="1"/>
      <c r="N200" s="1"/>
      <c r="O200" s="1"/>
      <c r="P200" s="1"/>
      <c r="Q200" s="1"/>
    </row>
    <row r="201" spans="1:17" ht="14.1" customHeight="1" x14ac:dyDescent="0.2">
      <c r="A201" s="10"/>
      <c r="B201" s="55"/>
      <c r="C201" s="63"/>
      <c r="D201" s="56"/>
      <c r="E201" s="63"/>
      <c r="F201" s="63"/>
      <c r="G201" s="55"/>
      <c r="H201" s="55"/>
      <c r="K201" s="97"/>
      <c r="M201" s="1"/>
      <c r="N201" s="1"/>
      <c r="O201" s="1"/>
      <c r="P201" s="1"/>
      <c r="Q201" s="1"/>
    </row>
    <row r="202" spans="1:17" ht="14.1" customHeight="1" x14ac:dyDescent="0.2">
      <c r="A202" s="10"/>
      <c r="B202" s="55"/>
      <c r="C202" s="63"/>
      <c r="D202" s="56"/>
      <c r="E202" s="63"/>
      <c r="F202" s="63"/>
      <c r="G202" s="55"/>
      <c r="H202" s="55"/>
      <c r="K202" s="97"/>
      <c r="M202" s="1"/>
      <c r="N202" s="1"/>
      <c r="O202" s="1"/>
      <c r="P202" s="1"/>
      <c r="Q202" s="1"/>
    </row>
    <row r="203" spans="1:17" ht="14.1" customHeight="1" x14ac:dyDescent="0.2">
      <c r="A203" s="10"/>
      <c r="B203" s="55"/>
      <c r="C203" s="63"/>
      <c r="D203" s="56"/>
      <c r="E203" s="63"/>
      <c r="F203" s="63"/>
      <c r="G203" s="55"/>
      <c r="H203" s="55"/>
      <c r="K203" s="97"/>
      <c r="M203" s="1"/>
      <c r="N203" s="1"/>
      <c r="O203" s="1"/>
      <c r="P203" s="1"/>
      <c r="Q203" s="1"/>
    </row>
    <row r="204" spans="1:17" ht="14.1" customHeight="1" x14ac:dyDescent="0.2">
      <c r="A204" s="10"/>
      <c r="B204" s="55"/>
      <c r="C204" s="63"/>
      <c r="D204" s="56"/>
      <c r="E204" s="63"/>
      <c r="G204" s="55"/>
      <c r="H204" s="55"/>
      <c r="K204" s="97"/>
      <c r="M204" s="1"/>
      <c r="N204" s="1"/>
      <c r="O204" s="1"/>
      <c r="P204" s="1"/>
      <c r="Q204" s="1"/>
    </row>
    <row r="205" spans="1:17" ht="14.1" customHeight="1" x14ac:dyDescent="0.2">
      <c r="A205" s="10"/>
      <c r="B205" s="55"/>
      <c r="D205" s="56"/>
      <c r="G205" s="55"/>
      <c r="H205" s="55"/>
      <c r="K205" s="97"/>
      <c r="M205" s="1"/>
      <c r="N205" s="1"/>
      <c r="O205" s="1"/>
      <c r="P205" s="1"/>
      <c r="Q205" s="1"/>
    </row>
    <row r="206" spans="1:17" ht="14.1" customHeight="1" x14ac:dyDescent="0.2">
      <c r="A206" s="10"/>
      <c r="B206" s="55"/>
      <c r="D206" s="56"/>
      <c r="F206" s="87"/>
      <c r="G206" s="55"/>
      <c r="H206" s="55"/>
      <c r="K206" s="97"/>
      <c r="M206" s="1"/>
      <c r="N206" s="1"/>
      <c r="O206" s="1"/>
      <c r="P206" s="1"/>
      <c r="Q206" s="1"/>
    </row>
    <row r="207" spans="1:17" ht="14.1" customHeight="1" x14ac:dyDescent="0.2">
      <c r="A207" s="10"/>
      <c r="B207" s="55"/>
      <c r="C207" s="87"/>
      <c r="D207" s="56"/>
      <c r="E207" s="87"/>
      <c r="K207" s="97"/>
      <c r="M207" s="1"/>
      <c r="N207" s="1"/>
      <c r="O207" s="1"/>
      <c r="P207" s="1"/>
      <c r="Q207" s="1"/>
    </row>
    <row r="208" spans="1:17" ht="14.1" customHeight="1" x14ac:dyDescent="0.2">
      <c r="A208" s="10"/>
      <c r="B208" s="55"/>
      <c r="D208" s="56"/>
      <c r="K208" s="97"/>
      <c r="M208" s="1"/>
      <c r="N208" s="1"/>
      <c r="O208" s="1"/>
      <c r="P208" s="1"/>
      <c r="Q208" s="1"/>
    </row>
    <row r="209" spans="1:17" ht="18" customHeight="1" x14ac:dyDescent="0.2">
      <c r="A209" s="10"/>
      <c r="B209" s="55"/>
      <c r="D209" s="56"/>
      <c r="F209" s="56"/>
      <c r="K209" s="97"/>
      <c r="M209" s="1"/>
      <c r="N209" s="1"/>
      <c r="O209" s="1"/>
      <c r="P209" s="1"/>
      <c r="Q209" s="1"/>
    </row>
    <row r="210" spans="1:17" ht="14.1" customHeight="1" x14ac:dyDescent="0.2">
      <c r="A210" s="10"/>
      <c r="B210" s="55"/>
      <c r="C210" s="56"/>
      <c r="D210" s="56"/>
      <c r="E210" s="56"/>
      <c r="F210" s="56"/>
      <c r="K210" s="97"/>
      <c r="M210" s="1"/>
      <c r="N210" s="1"/>
      <c r="O210" s="1"/>
      <c r="P210" s="1"/>
      <c r="Q210" s="1"/>
    </row>
    <row r="211" spans="1:17" ht="14.1" customHeight="1" x14ac:dyDescent="0.2">
      <c r="A211" s="10"/>
      <c r="B211" s="55"/>
      <c r="C211" s="56"/>
      <c r="D211" s="56"/>
      <c r="E211" s="56"/>
      <c r="K211" s="97"/>
      <c r="M211" s="1"/>
      <c r="N211" s="1"/>
      <c r="O211" s="1"/>
      <c r="P211" s="1"/>
      <c r="Q211" s="1"/>
    </row>
    <row r="212" spans="1:17" ht="14.1" customHeight="1" x14ac:dyDescent="0.2">
      <c r="A212" s="10"/>
      <c r="B212" s="55"/>
      <c r="D212" s="56"/>
      <c r="K212" s="97"/>
      <c r="M212" s="1"/>
      <c r="N212" s="1"/>
      <c r="O212" s="1"/>
      <c r="P212" s="1"/>
      <c r="Q212" s="1"/>
    </row>
    <row r="213" spans="1:17" ht="14.1" customHeight="1" x14ac:dyDescent="0.2">
      <c r="A213" s="10"/>
      <c r="D213" s="56"/>
      <c r="K213" s="97"/>
      <c r="M213" s="1"/>
      <c r="N213" s="1"/>
      <c r="O213" s="1"/>
      <c r="P213" s="1"/>
      <c r="Q213" s="1"/>
    </row>
    <row r="214" spans="1:17" ht="14.1" customHeight="1" x14ac:dyDescent="0.2">
      <c r="A214" s="10"/>
      <c r="B214" s="88"/>
      <c r="D214" s="56"/>
      <c r="K214" s="97"/>
      <c r="M214" s="1"/>
      <c r="N214" s="1"/>
      <c r="O214" s="1"/>
      <c r="P214" s="1"/>
      <c r="Q214" s="1"/>
    </row>
    <row r="215" spans="1:17" ht="14.1" customHeight="1" x14ac:dyDescent="0.2">
      <c r="A215" s="10"/>
      <c r="B215" s="75"/>
      <c r="D215" s="56"/>
      <c r="K215" s="97"/>
      <c r="M215" s="1"/>
      <c r="N215" s="1"/>
      <c r="O215" s="1"/>
      <c r="P215" s="1"/>
      <c r="Q215" s="1"/>
    </row>
    <row r="216" spans="1:17" ht="14.1" customHeight="1" x14ac:dyDescent="0.2">
      <c r="D216" s="56"/>
      <c r="K216" s="97"/>
      <c r="M216" s="1"/>
      <c r="N216" s="1"/>
      <c r="O216" s="1"/>
      <c r="P216" s="1"/>
      <c r="Q216" s="1"/>
    </row>
    <row r="217" spans="1:17" ht="14.1" customHeight="1" x14ac:dyDescent="0.2">
      <c r="A217" s="3"/>
      <c r="B217" s="75"/>
      <c r="D217" s="56"/>
      <c r="P217" s="1"/>
      <c r="Q217" s="1"/>
    </row>
    <row r="218" spans="1:17" ht="14.1" customHeight="1" x14ac:dyDescent="0.2">
      <c r="A218" s="11"/>
      <c r="B218" s="75"/>
      <c r="D218" s="56"/>
      <c r="P218" s="1"/>
      <c r="Q218" s="1"/>
    </row>
    <row r="219" spans="1:17" ht="14.1" customHeight="1" x14ac:dyDescent="0.2">
      <c r="A219" s="3"/>
      <c r="B219" s="75"/>
      <c r="D219" s="56"/>
      <c r="F219" s="56"/>
      <c r="G219" s="60"/>
      <c r="H219" s="60"/>
      <c r="P219" s="1"/>
      <c r="Q219" s="1"/>
    </row>
    <row r="220" spans="1:17" ht="14.1" customHeight="1" x14ac:dyDescent="0.2">
      <c r="A220" s="8"/>
      <c r="B220" s="75"/>
      <c r="C220" s="56"/>
      <c r="D220" s="56"/>
      <c r="E220" s="56"/>
      <c r="P220" s="1"/>
      <c r="Q220" s="1"/>
    </row>
    <row r="221" spans="1:17" ht="14.1" customHeight="1" x14ac:dyDescent="0.2">
      <c r="A221" s="8"/>
      <c r="B221" s="75"/>
      <c r="D221" s="56"/>
      <c r="P221" s="1"/>
      <c r="Q221" s="1"/>
    </row>
    <row r="222" spans="1:17" ht="14.1" customHeight="1" x14ac:dyDescent="0.2">
      <c r="A222" s="3"/>
      <c r="B222" s="90"/>
      <c r="D222" s="56"/>
      <c r="P222" s="1"/>
      <c r="Q222" s="1"/>
    </row>
    <row r="223" spans="1:17" ht="14.1" customHeight="1" x14ac:dyDescent="0.2">
      <c r="A223" s="3"/>
      <c r="B223" s="90"/>
      <c r="D223" s="56"/>
      <c r="M223" s="1"/>
      <c r="N223" s="1"/>
      <c r="O223" s="1"/>
      <c r="P223" s="1"/>
      <c r="Q223" s="1"/>
    </row>
    <row r="224" spans="1:17" ht="14.1" customHeight="1" x14ac:dyDescent="0.2">
      <c r="A224" s="3"/>
      <c r="B224" s="90"/>
      <c r="D224" s="56"/>
      <c r="M224" s="1"/>
      <c r="N224" s="1"/>
      <c r="O224" s="1"/>
      <c r="P224" s="1"/>
      <c r="Q224" s="1"/>
    </row>
    <row r="225" spans="1:20" ht="14.1" customHeight="1" x14ac:dyDescent="0.2">
      <c r="A225" s="8"/>
      <c r="B225" s="91"/>
      <c r="D225" s="56"/>
      <c r="G225" s="60"/>
      <c r="H225" s="60"/>
      <c r="I225" s="92"/>
      <c r="J225" s="92"/>
      <c r="K225" s="97"/>
      <c r="L225" s="92"/>
    </row>
    <row r="226" spans="1:20" ht="14.1" customHeight="1" x14ac:dyDescent="0.2">
      <c r="A226" s="7"/>
      <c r="B226" s="90"/>
      <c r="D226" s="56"/>
      <c r="M226" s="1"/>
      <c r="N226" s="1"/>
      <c r="O226" s="1"/>
      <c r="P226" s="1"/>
      <c r="Q226" s="1"/>
    </row>
    <row r="227" spans="1:20" ht="14.1" customHeight="1" x14ac:dyDescent="0.2">
      <c r="B227" s="90"/>
      <c r="D227" s="56"/>
      <c r="P227" s="1"/>
      <c r="Q227" s="1"/>
    </row>
    <row r="228" spans="1:20" ht="14.1" customHeight="1" x14ac:dyDescent="0.2">
      <c r="A228" s="7"/>
      <c r="B228" s="90"/>
      <c r="D228" s="56"/>
      <c r="P228" s="1"/>
      <c r="Q228" s="1"/>
    </row>
    <row r="229" spans="1:20" ht="14.1" customHeight="1" x14ac:dyDescent="0.2">
      <c r="A229" s="8"/>
      <c r="D229" s="56"/>
      <c r="P229" s="1"/>
      <c r="Q229" s="1"/>
    </row>
    <row r="230" spans="1:20" ht="14.1" customHeight="1" x14ac:dyDescent="0.2">
      <c r="A230" s="8"/>
      <c r="D230" s="56"/>
      <c r="P230" s="1"/>
      <c r="Q230" s="1"/>
    </row>
    <row r="231" spans="1:20" ht="14.1" customHeight="1" x14ac:dyDescent="0.2">
      <c r="A231" s="8"/>
      <c r="D231" s="56"/>
      <c r="R231" s="89"/>
      <c r="S231" s="89"/>
      <c r="T231" s="89"/>
    </row>
    <row r="232" spans="1:20" ht="14.1" customHeight="1" x14ac:dyDescent="0.2">
      <c r="A232" s="12"/>
      <c r="D232" s="56"/>
      <c r="O232" s="1"/>
      <c r="P232" s="1"/>
      <c r="Q232" s="1"/>
    </row>
    <row r="233" spans="1:20" ht="14.1" customHeight="1" x14ac:dyDescent="0.2">
      <c r="D233" s="56"/>
      <c r="O233" s="1"/>
      <c r="P233" s="1"/>
      <c r="Q233" s="1"/>
    </row>
    <row r="234" spans="1:20" ht="14.1" customHeight="1" x14ac:dyDescent="0.2">
      <c r="D234" s="56"/>
      <c r="N234" s="1"/>
      <c r="O234" s="1"/>
      <c r="P234" s="1"/>
      <c r="Q234" s="1"/>
    </row>
    <row r="235" spans="1:20" ht="14.1" customHeight="1" x14ac:dyDescent="0.2">
      <c r="D235" s="56"/>
      <c r="N235" s="1"/>
      <c r="O235" s="1"/>
      <c r="P235" s="1"/>
      <c r="Q235" s="1"/>
    </row>
    <row r="236" spans="1:20" ht="14.1" customHeight="1" x14ac:dyDescent="0.2">
      <c r="D236" s="56"/>
      <c r="M236" s="1"/>
      <c r="N236" s="1"/>
      <c r="O236" s="1"/>
      <c r="P236" s="1"/>
      <c r="Q236" s="1"/>
    </row>
    <row r="237" spans="1:20" ht="14.1" customHeight="1" x14ac:dyDescent="0.2">
      <c r="D237" s="56"/>
      <c r="M237" s="1"/>
      <c r="N237" s="1"/>
      <c r="O237" s="1"/>
      <c r="P237" s="1"/>
      <c r="Q237" s="1"/>
    </row>
    <row r="238" spans="1:20" ht="14.1" customHeight="1" x14ac:dyDescent="0.2">
      <c r="D238" s="56"/>
      <c r="N238" s="1"/>
      <c r="O238" s="1"/>
      <c r="P238" s="1"/>
      <c r="Q238" s="1"/>
    </row>
    <row r="239" spans="1:20" ht="14.1" customHeight="1" x14ac:dyDescent="0.2">
      <c r="D239" s="56"/>
      <c r="N239" s="1"/>
      <c r="O239" s="1"/>
      <c r="P239" s="1"/>
      <c r="Q239" s="1"/>
    </row>
    <row r="240" spans="1:20" ht="14.1" customHeight="1" x14ac:dyDescent="0.2">
      <c r="D240" s="56"/>
      <c r="N240" s="1"/>
      <c r="O240" s="1"/>
      <c r="P240" s="1"/>
      <c r="Q240" s="1"/>
    </row>
    <row r="241" spans="4:17" ht="14.1" customHeight="1" x14ac:dyDescent="0.2">
      <c r="D241" s="56"/>
      <c r="N241" s="1"/>
      <c r="O241" s="1"/>
      <c r="P241" s="1"/>
      <c r="Q241" s="1"/>
    </row>
    <row r="242" spans="4:17" ht="14.1" customHeight="1" x14ac:dyDescent="0.2">
      <c r="D242" s="56"/>
      <c r="N242" s="1"/>
      <c r="O242" s="1"/>
      <c r="P242" s="1"/>
      <c r="Q242" s="1"/>
    </row>
    <row r="243" spans="4:17" ht="14.1" customHeight="1" x14ac:dyDescent="0.2">
      <c r="D243" s="56"/>
      <c r="N243" s="1"/>
      <c r="O243" s="1"/>
      <c r="P243" s="1"/>
      <c r="Q243" s="1"/>
    </row>
    <row r="244" spans="4:17" ht="20.100000000000001" customHeight="1" x14ac:dyDescent="0.2">
      <c r="D244" s="56"/>
      <c r="N244" s="1"/>
      <c r="O244" s="1"/>
      <c r="P244" s="1"/>
      <c r="Q244" s="1"/>
    </row>
    <row r="245" spans="4:17" ht="14.1" customHeight="1" x14ac:dyDescent="0.2">
      <c r="D245" s="56"/>
    </row>
    <row r="246" spans="4:17" ht="14.1" customHeight="1" x14ac:dyDescent="0.2">
      <c r="D246" s="56"/>
    </row>
    <row r="247" spans="4:17" ht="14.1" customHeight="1" x14ac:dyDescent="0.2">
      <c r="D247" s="56"/>
    </row>
    <row r="248" spans="4:17" ht="14.1" customHeight="1" x14ac:dyDescent="0.2">
      <c r="D248" s="56"/>
    </row>
    <row r="249" spans="4:17" ht="14.1" customHeight="1" x14ac:dyDescent="0.2">
      <c r="D249" s="56"/>
    </row>
    <row r="250" spans="4:17" ht="14.1" customHeight="1" x14ac:dyDescent="0.2">
      <c r="D250" s="56"/>
    </row>
    <row r="251" spans="4:17" ht="14.1" customHeight="1" x14ac:dyDescent="0.2">
      <c r="D251" s="56"/>
    </row>
    <row r="252" spans="4:17" ht="14.1" customHeight="1" x14ac:dyDescent="0.2">
      <c r="D252" s="56"/>
    </row>
    <row r="253" spans="4:17" ht="14.1" customHeight="1" x14ac:dyDescent="0.2">
      <c r="D253" s="56"/>
    </row>
    <row r="254" spans="4:17" ht="14.1" customHeight="1" x14ac:dyDescent="0.2">
      <c r="D254" s="56"/>
    </row>
    <row r="255" spans="4:17" ht="14.1" customHeight="1" x14ac:dyDescent="0.2">
      <c r="D255" s="56"/>
    </row>
    <row r="256" spans="4:17" ht="14.1" customHeight="1" x14ac:dyDescent="0.2">
      <c r="D256" s="56"/>
    </row>
  </sheetData>
  <phoneticPr fontId="0" type="noConversion"/>
  <pageMargins left="0.25" right="0.25" top="0.75" bottom="0.75" header="0.3" footer="0.3"/>
  <pageSetup scale="75" fitToHeight="6" orientation="landscape" cellComments="asDisplayed" r:id="rId1"/>
  <headerFooter alignWithMargins="0">
    <oddFooter xml:space="preserve">&amp;C
&amp;P of &amp;N
&amp;R&amp;"Courier,Bold"&amp;14&amp;F&amp;"Courier,Regular"&amp;9
</oddFooter>
  </headerFooter>
  <rowBreaks count="4" manualBreakCount="4">
    <brk id="37" max="10" man="1"/>
    <brk id="69" max="10" man="1"/>
    <brk id="100" max="10" man="1"/>
    <brk id="129" max="10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workbookViewId="0">
      <selection activeCell="J19" sqref="J19"/>
    </sheetView>
  </sheetViews>
  <sheetFormatPr defaultColWidth="8.625" defaultRowHeight="15.75" x14ac:dyDescent="0.25"/>
  <cols>
    <col min="1" max="1" width="17.25" style="15" bestFit="1" customWidth="1"/>
    <col min="2" max="2" width="28.75" style="15" customWidth="1"/>
    <col min="3" max="3" width="0.125" style="15" hidden="1" customWidth="1"/>
    <col min="4" max="9" width="15.625" style="181" bestFit="1" customWidth="1"/>
    <col min="10" max="10" width="16.125" style="181" bestFit="1" customWidth="1"/>
    <col min="11" max="11" width="15.625" style="15" bestFit="1" customWidth="1"/>
    <col min="12" max="16384" width="8.625" style="15"/>
  </cols>
  <sheetData>
    <row r="1" spans="1:11" ht="21" x14ac:dyDescent="0.35">
      <c r="A1" s="277" t="s">
        <v>102</v>
      </c>
      <c r="B1" s="277"/>
      <c r="C1" s="277"/>
      <c r="D1" s="277"/>
      <c r="E1" s="277"/>
      <c r="F1" s="277"/>
      <c r="G1" s="277"/>
      <c r="H1" s="277"/>
      <c r="I1" s="277"/>
      <c r="J1" s="277"/>
    </row>
    <row r="2" spans="1:11" x14ac:dyDescent="0.25">
      <c r="C2" s="13" t="s">
        <v>60</v>
      </c>
      <c r="D2" s="14" t="s">
        <v>59</v>
      </c>
      <c r="E2" s="14" t="s">
        <v>62</v>
      </c>
      <c r="F2" s="14" t="s">
        <v>65</v>
      </c>
      <c r="G2" s="14" t="s">
        <v>67</v>
      </c>
      <c r="H2" s="14" t="s">
        <v>69</v>
      </c>
      <c r="I2" s="14" t="s">
        <v>71</v>
      </c>
      <c r="J2" s="14" t="s">
        <v>74</v>
      </c>
    </row>
    <row r="3" spans="1:11" x14ac:dyDescent="0.25">
      <c r="A3" s="15" t="s">
        <v>89</v>
      </c>
    </row>
    <row r="4" spans="1:11" x14ac:dyDescent="0.25">
      <c r="B4" s="15" t="s">
        <v>90</v>
      </c>
      <c r="D4" s="181">
        <v>5447866</v>
      </c>
      <c r="E4" s="181">
        <v>5813422</v>
      </c>
      <c r="F4" s="181">
        <v>5897717</v>
      </c>
      <c r="G4" s="181">
        <v>6031098</v>
      </c>
      <c r="H4" s="181">
        <v>6102824</v>
      </c>
      <c r="I4" s="181">
        <v>6222744</v>
      </c>
      <c r="J4" s="181">
        <v>6265462</v>
      </c>
    </row>
    <row r="5" spans="1:11" x14ac:dyDescent="0.25">
      <c r="B5" s="15" t="s">
        <v>91</v>
      </c>
      <c r="D5" s="181">
        <v>2010708</v>
      </c>
      <c r="E5" s="181">
        <v>2336046</v>
      </c>
      <c r="F5" s="181">
        <v>2107424</v>
      </c>
      <c r="G5" s="181">
        <v>2139074</v>
      </c>
      <c r="H5" s="181">
        <v>1879074</v>
      </c>
      <c r="I5" s="181">
        <v>2084587</v>
      </c>
      <c r="J5" s="181">
        <v>2089062</v>
      </c>
    </row>
    <row r="6" spans="1:11" x14ac:dyDescent="0.25">
      <c r="B6" s="15" t="s">
        <v>96</v>
      </c>
      <c r="D6" s="181">
        <v>105633</v>
      </c>
      <c r="E6" s="181">
        <v>121777</v>
      </c>
      <c r="F6" s="181">
        <v>132647</v>
      </c>
      <c r="G6" s="181">
        <v>138273</v>
      </c>
      <c r="H6" s="181">
        <v>206686</v>
      </c>
      <c r="I6" s="181">
        <v>69089</v>
      </c>
      <c r="J6" s="181">
        <v>227872</v>
      </c>
    </row>
    <row r="7" spans="1:11" x14ac:dyDescent="0.25">
      <c r="B7" s="15" t="s">
        <v>97</v>
      </c>
      <c r="D7" s="181">
        <v>88812.36</v>
      </c>
      <c r="E7" s="181">
        <v>93252.98</v>
      </c>
      <c r="F7" s="181">
        <v>103719</v>
      </c>
      <c r="G7" s="181">
        <v>150065</v>
      </c>
      <c r="H7" s="181">
        <v>157568</v>
      </c>
      <c r="I7" s="181">
        <v>165446</v>
      </c>
      <c r="J7" s="181">
        <v>173719</v>
      </c>
    </row>
    <row r="8" spans="1:11" ht="14.25" customHeight="1" x14ac:dyDescent="0.25">
      <c r="B8" s="15" t="s">
        <v>130</v>
      </c>
      <c r="D8" s="181">
        <v>1011579</v>
      </c>
      <c r="E8" s="181">
        <v>799555</v>
      </c>
      <c r="F8" s="181">
        <v>600620</v>
      </c>
      <c r="G8" s="181">
        <v>894131</v>
      </c>
      <c r="H8" s="181">
        <v>1101233</v>
      </c>
      <c r="I8" s="181">
        <v>367231</v>
      </c>
      <c r="J8" s="181">
        <v>513050.14</v>
      </c>
    </row>
    <row r="9" spans="1:11" ht="16.5" thickBot="1" x14ac:dyDescent="0.3">
      <c r="A9" s="182"/>
      <c r="B9" s="182" t="s">
        <v>92</v>
      </c>
      <c r="C9" s="182"/>
      <c r="D9" s="183">
        <v>15419133</v>
      </c>
      <c r="E9" s="183">
        <v>16328337</v>
      </c>
      <c r="F9" s="183">
        <v>17214070</v>
      </c>
      <c r="G9" s="183">
        <v>17841743</v>
      </c>
      <c r="H9" s="183">
        <v>18590427</v>
      </c>
      <c r="I9" s="183">
        <v>20406426</v>
      </c>
      <c r="J9" s="183">
        <v>20781466.309999999</v>
      </c>
    </row>
    <row r="10" spans="1:11" x14ac:dyDescent="0.25">
      <c r="D10" s="181">
        <f t="shared" ref="D10:J10" si="0">SUM(D4:D9)</f>
        <v>24083731.359999999</v>
      </c>
      <c r="E10" s="181">
        <f t="shared" si="0"/>
        <v>25492389.98</v>
      </c>
      <c r="F10" s="181">
        <f t="shared" si="0"/>
        <v>26056197</v>
      </c>
      <c r="G10" s="181">
        <f t="shared" si="0"/>
        <v>27194384</v>
      </c>
      <c r="H10" s="181">
        <f t="shared" si="0"/>
        <v>28037812</v>
      </c>
      <c r="I10" s="181">
        <f t="shared" si="0"/>
        <v>29315523</v>
      </c>
      <c r="J10" s="181">
        <f t="shared" si="0"/>
        <v>30050631.449999999</v>
      </c>
      <c r="K10" s="181"/>
    </row>
    <row r="11" spans="1:11" x14ac:dyDescent="0.25">
      <c r="D11" s="184"/>
      <c r="E11" s="184">
        <f>+(E10-D10)/D10</f>
        <v>5.8490048694846475E-2</v>
      </c>
      <c r="F11" s="184">
        <f>+(F10-E10)/E10</f>
        <v>2.2116679544065234E-2</v>
      </c>
      <c r="G11" s="184">
        <f>+(G10-F10)/F10</f>
        <v>4.3682007777266961E-2</v>
      </c>
      <c r="H11" s="184">
        <f>+(H10-G10)/G10</f>
        <v>3.101478599404936E-2</v>
      </c>
      <c r="I11" s="184">
        <f>+(I10-H10)/H10</f>
        <v>4.5570995340149939E-2</v>
      </c>
      <c r="J11" s="184">
        <v>0.03</v>
      </c>
    </row>
    <row r="12" spans="1:11" x14ac:dyDescent="0.25">
      <c r="D12" s="184"/>
      <c r="E12" s="184" t="s">
        <v>100</v>
      </c>
      <c r="F12" s="184"/>
      <c r="G12" s="184"/>
      <c r="H12" s="184"/>
      <c r="I12" s="184" t="s">
        <v>99</v>
      </c>
      <c r="J12" s="184"/>
    </row>
    <row r="13" spans="1:11" x14ac:dyDescent="0.25">
      <c r="D13" s="184"/>
      <c r="E13" s="184"/>
      <c r="F13" s="184"/>
      <c r="G13" s="184"/>
      <c r="H13" s="184"/>
      <c r="I13" s="184"/>
      <c r="J13" s="184"/>
    </row>
    <row r="14" spans="1:11" x14ac:dyDescent="0.25">
      <c r="A14" s="15" t="s">
        <v>93</v>
      </c>
    </row>
    <row r="15" spans="1:11" x14ac:dyDescent="0.25">
      <c r="B15" s="15" t="s">
        <v>94</v>
      </c>
      <c r="D15" s="181">
        <v>790685</v>
      </c>
      <c r="E15" s="181">
        <v>661284</v>
      </c>
      <c r="F15" s="181">
        <v>539154</v>
      </c>
      <c r="G15" s="181">
        <v>528639</v>
      </c>
      <c r="H15" s="181">
        <v>397333</v>
      </c>
      <c r="I15" s="181">
        <v>778092</v>
      </c>
      <c r="J15" s="181">
        <v>799003</v>
      </c>
      <c r="K15" s="181"/>
    </row>
    <row r="17" spans="1:10" x14ac:dyDescent="0.25">
      <c r="A17" s="15" t="s">
        <v>95</v>
      </c>
    </row>
    <row r="18" spans="1:10" x14ac:dyDescent="0.25">
      <c r="B18" s="15" t="s">
        <v>98</v>
      </c>
      <c r="J18" s="181">
        <f>184000+194603</f>
        <v>378603</v>
      </c>
    </row>
    <row r="20" spans="1:10" x14ac:dyDescent="0.25">
      <c r="A20" s="15" t="s">
        <v>129</v>
      </c>
      <c r="B20" s="28"/>
      <c r="D20" s="181">
        <f t="shared" ref="D20:J20" si="1">+D18+D15+D10</f>
        <v>24874416.359999999</v>
      </c>
      <c r="E20" s="181">
        <f t="shared" si="1"/>
        <v>26153673.98</v>
      </c>
      <c r="F20" s="181">
        <f t="shared" si="1"/>
        <v>26595351</v>
      </c>
      <c r="G20" s="181">
        <f t="shared" si="1"/>
        <v>27723023</v>
      </c>
      <c r="H20" s="181">
        <f t="shared" si="1"/>
        <v>28435145</v>
      </c>
      <c r="I20" s="181">
        <f t="shared" si="1"/>
        <v>30093615</v>
      </c>
      <c r="J20" s="181">
        <f t="shared" si="1"/>
        <v>31228237.449999999</v>
      </c>
    </row>
  </sheetData>
  <mergeCells count="1">
    <mergeCell ref="A1:J1"/>
  </mergeCells>
  <pageMargins left="0" right="0" top="0.75" bottom="0.75" header="0.3" footer="0.3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4"/>
  <sheetViews>
    <sheetView view="pageBreakPreview" topLeftCell="A28" zoomScale="80" zoomScaleNormal="80" zoomScaleSheetLayoutView="80" workbookViewId="0">
      <selection activeCell="Q68" sqref="Q68"/>
    </sheetView>
  </sheetViews>
  <sheetFormatPr defaultColWidth="8.625" defaultRowHeight="15.75" x14ac:dyDescent="0.25"/>
  <cols>
    <col min="1" max="1" width="7.5" style="42" customWidth="1"/>
    <col min="2" max="2" width="41" style="18" customWidth="1"/>
    <col min="3" max="4" width="17.25" style="19" customWidth="1"/>
    <col min="5" max="5" width="15.5" style="19" customWidth="1"/>
    <col min="6" max="6" width="19.5" style="19" customWidth="1"/>
    <col min="7" max="7" width="17.625" style="19" customWidth="1"/>
    <col min="8" max="8" width="3.125" style="19" customWidth="1"/>
    <col min="9" max="9" width="18.75" style="19" customWidth="1"/>
    <col min="10" max="10" width="18.125" style="19" customWidth="1"/>
    <col min="11" max="12" width="15.75" style="19" customWidth="1"/>
    <col min="13" max="13" width="18" style="19" customWidth="1"/>
    <col min="14" max="14" width="15.75" style="19" customWidth="1"/>
    <col min="15" max="15" width="4.375" style="2" customWidth="1"/>
    <col min="16" max="16" width="14.625" style="2" customWidth="1"/>
    <col min="17" max="17" width="16.875" style="28" customWidth="1"/>
    <col min="18" max="18" width="2.75" style="15" customWidth="1"/>
    <col min="19" max="19" width="15.5" style="15" bestFit="1" customWidth="1"/>
    <col min="20" max="16384" width="8.625" style="2"/>
  </cols>
  <sheetData>
    <row r="1" spans="1:19" ht="21" x14ac:dyDescent="0.35">
      <c r="B1" s="279" t="s">
        <v>153</v>
      </c>
      <c r="C1" s="279"/>
      <c r="D1" s="279"/>
      <c r="E1" s="279"/>
      <c r="F1" s="279"/>
      <c r="G1" s="279"/>
      <c r="I1" s="278"/>
      <c r="J1" s="278"/>
      <c r="N1" s="2"/>
      <c r="P1" s="28"/>
      <c r="Q1" s="15"/>
      <c r="S1" s="2"/>
    </row>
    <row r="2" spans="1:19" x14ac:dyDescent="0.25">
      <c r="M2" s="2"/>
      <c r="N2" s="2"/>
      <c r="O2" s="28"/>
      <c r="P2" s="15"/>
      <c r="Q2" s="15"/>
      <c r="R2" s="2"/>
      <c r="S2" s="2"/>
    </row>
    <row r="3" spans="1:19" s="44" customFormat="1" ht="88.9" customHeight="1" thickBot="1" x14ac:dyDescent="0.5">
      <c r="A3" s="43"/>
      <c r="B3" s="191" t="s">
        <v>101</v>
      </c>
      <c r="C3" s="220" t="s">
        <v>156</v>
      </c>
      <c r="D3" s="221" t="s">
        <v>154</v>
      </c>
      <c r="E3" s="222" t="s">
        <v>157</v>
      </c>
      <c r="F3" s="193" t="s">
        <v>166</v>
      </c>
      <c r="G3" s="194" t="s">
        <v>137</v>
      </c>
      <c r="H3" s="192"/>
      <c r="I3" s="203" t="s">
        <v>155</v>
      </c>
      <c r="J3" s="204" t="s">
        <v>94</v>
      </c>
      <c r="K3" s="205" t="s">
        <v>98</v>
      </c>
      <c r="L3" s="205" t="s">
        <v>171</v>
      </c>
      <c r="O3" s="45"/>
      <c r="P3" s="46"/>
      <c r="Q3" s="46"/>
    </row>
    <row r="4" spans="1:19" ht="16.5" thickTop="1" x14ac:dyDescent="0.25">
      <c r="B4" s="280" t="s">
        <v>173</v>
      </c>
      <c r="C4" s="280"/>
      <c r="D4" s="280"/>
      <c r="E4" s="280"/>
      <c r="F4" s="280"/>
      <c r="G4" s="280"/>
      <c r="H4" s="280"/>
      <c r="I4" s="280"/>
      <c r="J4" s="280"/>
      <c r="K4" s="280"/>
      <c r="L4" s="30"/>
      <c r="M4" s="2"/>
      <c r="N4" s="2"/>
      <c r="O4" s="28"/>
      <c r="P4" s="15"/>
      <c r="Q4" s="15"/>
      <c r="R4" s="2"/>
      <c r="S4" s="2"/>
    </row>
    <row r="5" spans="1:19" x14ac:dyDescent="0.25">
      <c r="B5" s="16" t="s">
        <v>104</v>
      </c>
      <c r="C5" s="223"/>
      <c r="D5" s="224"/>
      <c r="E5" s="225"/>
      <c r="F5" s="186"/>
      <c r="G5" s="20"/>
      <c r="H5" s="20"/>
      <c r="I5" s="206"/>
      <c r="J5" s="207"/>
      <c r="K5" s="208"/>
      <c r="L5" s="208"/>
      <c r="M5" s="2"/>
      <c r="N5" s="2"/>
      <c r="O5" s="28"/>
      <c r="P5" s="15"/>
      <c r="Q5" s="15"/>
      <c r="R5" s="2"/>
      <c r="S5" s="2"/>
    </row>
    <row r="6" spans="1:19" x14ac:dyDescent="0.25">
      <c r="B6" s="19" t="s">
        <v>106</v>
      </c>
      <c r="C6" s="226">
        <v>12435</v>
      </c>
      <c r="D6" s="201"/>
      <c r="E6" s="227"/>
      <c r="F6" s="186"/>
      <c r="G6" s="19">
        <f>+C6</f>
        <v>12435</v>
      </c>
      <c r="I6" s="200">
        <f>-G6</f>
        <v>-12435</v>
      </c>
      <c r="J6" s="209" t="s">
        <v>136</v>
      </c>
      <c r="K6" s="202"/>
      <c r="L6" s="202"/>
      <c r="M6" s="2"/>
      <c r="N6" s="2"/>
      <c r="O6" s="28"/>
      <c r="P6" s="15"/>
      <c r="Q6" s="15"/>
      <c r="R6" s="2"/>
      <c r="S6" s="2"/>
    </row>
    <row r="7" spans="1:19" x14ac:dyDescent="0.25">
      <c r="B7" s="19" t="s">
        <v>107</v>
      </c>
      <c r="C7" s="226">
        <v>394617</v>
      </c>
      <c r="D7" s="201"/>
      <c r="E7" s="227"/>
      <c r="F7" s="186"/>
      <c r="G7" s="19">
        <f>+C7</f>
        <v>394617</v>
      </c>
      <c r="I7" s="200">
        <f>-G7</f>
        <v>-394617</v>
      </c>
      <c r="J7" s="209" t="s">
        <v>136</v>
      </c>
      <c r="K7" s="202"/>
      <c r="L7" s="202"/>
      <c r="M7" s="2"/>
      <c r="N7" s="2"/>
      <c r="O7" s="185"/>
      <c r="P7" s="15"/>
      <c r="Q7" s="15"/>
      <c r="R7" s="2"/>
      <c r="S7" s="2"/>
    </row>
    <row r="8" spans="1:19" x14ac:dyDescent="0.25">
      <c r="B8" s="19" t="s">
        <v>131</v>
      </c>
      <c r="C8" s="226">
        <v>100000</v>
      </c>
      <c r="D8" s="201"/>
      <c r="E8" s="227"/>
      <c r="F8" s="186"/>
      <c r="G8" s="19">
        <f>+C8</f>
        <v>100000</v>
      </c>
      <c r="I8" s="200">
        <f>-G8</f>
        <v>-100000</v>
      </c>
      <c r="J8" s="201"/>
      <c r="K8" s="202"/>
      <c r="L8" s="202"/>
      <c r="M8" s="2"/>
      <c r="N8" s="2"/>
      <c r="O8" s="28"/>
      <c r="P8" s="15"/>
      <c r="Q8" s="15"/>
      <c r="R8" s="2"/>
      <c r="S8" s="2"/>
    </row>
    <row r="9" spans="1:19" ht="16.5" thickBot="1" x14ac:dyDescent="0.3">
      <c r="B9" s="19" t="s">
        <v>132</v>
      </c>
      <c r="C9" s="226">
        <v>329099</v>
      </c>
      <c r="D9" s="201"/>
      <c r="E9" s="227"/>
      <c r="F9" s="186"/>
      <c r="G9" s="19">
        <f>+C9</f>
        <v>329099</v>
      </c>
      <c r="I9" s="200">
        <f>-G9</f>
        <v>-329099</v>
      </c>
      <c r="J9" s="201"/>
      <c r="K9" s="202"/>
      <c r="L9" s="202"/>
      <c r="M9" s="2"/>
      <c r="N9" s="2"/>
      <c r="O9" s="28"/>
      <c r="P9" s="15"/>
      <c r="Q9" s="15"/>
      <c r="R9" s="2"/>
      <c r="S9" s="2"/>
    </row>
    <row r="10" spans="1:19" ht="16.5" thickBot="1" x14ac:dyDescent="0.3">
      <c r="A10" s="42">
        <v>1</v>
      </c>
      <c r="B10" s="24" t="s">
        <v>134</v>
      </c>
      <c r="C10" s="228">
        <f>+SUM(C5:C9)</f>
        <v>836151</v>
      </c>
      <c r="D10" s="211"/>
      <c r="E10" s="229"/>
      <c r="F10" s="187"/>
      <c r="G10" s="22">
        <f>+SUM(G5:G9)</f>
        <v>836151</v>
      </c>
      <c r="H10" s="22"/>
      <c r="I10" s="210">
        <f>+SUM(I5:I9)</f>
        <v>-836151</v>
      </c>
      <c r="J10" s="211">
        <f>+SUM(J5:J9)</f>
        <v>0</v>
      </c>
      <c r="K10" s="212">
        <f>+SUM(K5:K9)</f>
        <v>0</v>
      </c>
      <c r="L10" s="212">
        <f>+G10-C10</f>
        <v>0</v>
      </c>
      <c r="M10" s="2"/>
      <c r="N10" s="2"/>
      <c r="O10" s="28"/>
      <c r="P10" s="15"/>
      <c r="Q10" s="15"/>
      <c r="R10" s="2"/>
      <c r="S10" s="2"/>
    </row>
    <row r="11" spans="1:19" s="98" customFormat="1" x14ac:dyDescent="0.25">
      <c r="A11" s="241"/>
      <c r="B11" s="242"/>
      <c r="C11" s="243"/>
      <c r="D11" s="243"/>
      <c r="E11" s="243"/>
      <c r="F11" s="243"/>
      <c r="G11" s="243"/>
      <c r="H11" s="243"/>
      <c r="I11" s="243"/>
      <c r="J11" s="243"/>
      <c r="K11" s="243"/>
      <c r="L11" s="243"/>
      <c r="O11" s="244"/>
      <c r="P11" s="245"/>
      <c r="Q11" s="245"/>
    </row>
    <row r="12" spans="1:19" x14ac:dyDescent="0.25">
      <c r="B12" s="280" t="s">
        <v>174</v>
      </c>
      <c r="C12" s="280"/>
      <c r="D12" s="280"/>
      <c r="E12" s="280"/>
      <c r="F12" s="280"/>
      <c r="G12" s="280"/>
      <c r="H12" s="280"/>
      <c r="I12" s="280"/>
      <c r="J12" s="280"/>
      <c r="K12" s="280"/>
      <c r="L12" s="30"/>
      <c r="M12" s="2"/>
      <c r="N12" s="2"/>
      <c r="O12" s="28"/>
      <c r="P12" s="15"/>
      <c r="Q12" s="15"/>
      <c r="R12" s="2"/>
      <c r="S12" s="2"/>
    </row>
    <row r="13" spans="1:19" x14ac:dyDescent="0.25">
      <c r="B13" s="234"/>
      <c r="C13" s="235"/>
      <c r="D13" s="236"/>
      <c r="E13" s="237"/>
      <c r="F13" s="238"/>
      <c r="G13" s="23"/>
      <c r="H13" s="23"/>
      <c r="I13" s="239"/>
      <c r="J13" s="236"/>
      <c r="K13" s="240"/>
      <c r="L13" s="240"/>
      <c r="M13" s="2"/>
      <c r="N13" s="2"/>
      <c r="O13" s="28"/>
      <c r="P13" s="15"/>
      <c r="Q13" s="15"/>
      <c r="R13" s="2"/>
      <c r="S13" s="2"/>
    </row>
    <row r="14" spans="1:19" ht="30.95" customHeight="1" x14ac:dyDescent="0.25">
      <c r="B14" s="35" t="s">
        <v>133</v>
      </c>
      <c r="C14" s="232">
        <f>+'Budget Comparison'!I33</f>
        <v>7419931.8100000005</v>
      </c>
      <c r="D14" s="217">
        <f>+'Budget Comparison'!H33</f>
        <v>7116849.0700000003</v>
      </c>
      <c r="E14" s="233"/>
      <c r="F14" s="188"/>
      <c r="G14" s="36">
        <f>+C14</f>
        <v>7419931.8100000005</v>
      </c>
      <c r="H14" s="36"/>
      <c r="I14" s="216">
        <f>-G14-J14</f>
        <v>-7419931.8100000005</v>
      </c>
      <c r="J14" s="217"/>
      <c r="K14" s="218"/>
      <c r="L14" s="218">
        <f>+G14-C14</f>
        <v>0</v>
      </c>
      <c r="M14" s="2"/>
      <c r="N14" s="2"/>
      <c r="O14" s="28"/>
      <c r="P14" s="15"/>
      <c r="Q14" s="15"/>
      <c r="R14" s="2"/>
      <c r="S14" s="2"/>
    </row>
    <row r="15" spans="1:19" ht="3.4" customHeight="1" x14ac:dyDescent="0.25">
      <c r="B15" s="19"/>
      <c r="C15" s="226"/>
      <c r="D15" s="201"/>
      <c r="E15" s="227"/>
      <c r="F15" s="186"/>
      <c r="I15" s="200"/>
      <c r="J15" s="201"/>
      <c r="K15" s="202"/>
      <c r="L15" s="202"/>
      <c r="M15" s="2"/>
      <c r="N15" s="2"/>
      <c r="O15" s="28" t="s">
        <v>139</v>
      </c>
      <c r="P15" s="15"/>
      <c r="Q15" s="15">
        <f>+K72*N15</f>
        <v>0</v>
      </c>
      <c r="R15" s="2"/>
      <c r="S15" s="2"/>
    </row>
    <row r="16" spans="1:19" x14ac:dyDescent="0.25">
      <c r="B16" s="29" t="s">
        <v>164</v>
      </c>
      <c r="C16" s="226">
        <f>+'Budget Comparison'!I15</f>
        <v>7028049.0300000012</v>
      </c>
      <c r="D16" s="201">
        <f>+'Budget Comparison'!H15</f>
        <v>6756124.6600000001</v>
      </c>
      <c r="E16" s="227">
        <f>$K$72*0.35</f>
        <v>238149.6740000002</v>
      </c>
      <c r="F16" s="186">
        <f>27502+6273</f>
        <v>33775</v>
      </c>
      <c r="G16" s="19">
        <f>+E16+D16+F16</f>
        <v>7028049.3340000007</v>
      </c>
      <c r="I16" s="200">
        <f>-G16-J16</f>
        <v>-6994274.3340000007</v>
      </c>
      <c r="J16" s="201">
        <f>-F16</f>
        <v>-33775</v>
      </c>
      <c r="K16" s="202"/>
      <c r="L16" s="202">
        <f>+G16-C16</f>
        <v>0.303999999538064</v>
      </c>
      <c r="M16" s="18"/>
      <c r="N16" s="2"/>
      <c r="O16" s="28"/>
      <c r="P16" s="15"/>
      <c r="Q16" s="15"/>
      <c r="R16" s="2"/>
      <c r="S16" s="2"/>
    </row>
    <row r="17" spans="1:19" ht="16.5" thickBot="1" x14ac:dyDescent="0.3">
      <c r="B17" s="29" t="s">
        <v>165</v>
      </c>
      <c r="C17" s="226">
        <f>+'Budget Comparison'!I19</f>
        <v>14964923</v>
      </c>
      <c r="D17" s="201">
        <f>+'Budget Comparison'!H19</f>
        <v>14357995</v>
      </c>
      <c r="E17" s="227">
        <f>K72*0.65</f>
        <v>442277.96600000042</v>
      </c>
      <c r="F17" s="186"/>
      <c r="G17" s="19">
        <f>+E17+D17+F17</f>
        <v>14800272.966</v>
      </c>
      <c r="I17" s="200">
        <f>-G17-J17</f>
        <v>-14800272.966</v>
      </c>
      <c r="J17" s="201"/>
      <c r="K17" s="202"/>
      <c r="L17" s="202">
        <f>+G17-C17</f>
        <v>-164650.03399999999</v>
      </c>
      <c r="M17" s="25"/>
      <c r="N17" s="25"/>
      <c r="O17" s="28"/>
      <c r="P17" s="15"/>
      <c r="Q17" s="15"/>
      <c r="R17" s="2"/>
      <c r="S17" s="2"/>
    </row>
    <row r="18" spans="1:19" ht="16.5" thickBot="1" x14ac:dyDescent="0.3">
      <c r="A18" s="42">
        <v>2</v>
      </c>
      <c r="B18" s="26" t="s">
        <v>105</v>
      </c>
      <c r="C18" s="230">
        <f>+C14+C16+C17</f>
        <v>29412903.840000004</v>
      </c>
      <c r="D18" s="214">
        <f>+D14+D16+D17</f>
        <v>28230968.73</v>
      </c>
      <c r="E18" s="231">
        <f>+E14+E16+E17</f>
        <v>680427.6400000006</v>
      </c>
      <c r="F18" s="187">
        <f>+F14+F16+F17</f>
        <v>33775</v>
      </c>
      <c r="G18" s="27">
        <f>+SUM(G14:G17)</f>
        <v>29248254.109999999</v>
      </c>
      <c r="H18" s="27"/>
      <c r="I18" s="213">
        <f>+SUM(I14:I17)</f>
        <v>-29214479.109999999</v>
      </c>
      <c r="J18" s="214">
        <f>+SUM(J14:J17)</f>
        <v>-33775</v>
      </c>
      <c r="K18" s="215">
        <f>+SUM(K14:K17)</f>
        <v>0</v>
      </c>
      <c r="L18" s="215">
        <f>+G18-C18</f>
        <v>-164649.73000000417</v>
      </c>
      <c r="M18" s="2"/>
      <c r="N18" s="25"/>
      <c r="O18" s="28"/>
      <c r="P18" s="15"/>
      <c r="Q18" s="15"/>
      <c r="R18" s="2"/>
      <c r="S18" s="2"/>
    </row>
    <row r="19" spans="1:19" x14ac:dyDescent="0.25">
      <c r="B19" s="19" t="s">
        <v>108</v>
      </c>
      <c r="C19" s="226">
        <v>21480</v>
      </c>
      <c r="D19" s="201"/>
      <c r="E19" s="227"/>
      <c r="F19" s="186">
        <f>+C19</f>
        <v>21480</v>
      </c>
      <c r="G19" s="19">
        <f>+F19</f>
        <v>21480</v>
      </c>
      <c r="I19" s="200"/>
      <c r="J19" s="201">
        <f>-G19</f>
        <v>-21480</v>
      </c>
      <c r="K19" s="219"/>
      <c r="L19" s="219"/>
      <c r="M19" s="25"/>
      <c r="N19" s="25"/>
      <c r="O19" s="25"/>
      <c r="P19" s="15"/>
      <c r="Q19" s="15"/>
      <c r="R19" s="2"/>
      <c r="S19" s="2"/>
    </row>
    <row r="20" spans="1:19" x14ac:dyDescent="0.25">
      <c r="B20" s="19" t="s">
        <v>109</v>
      </c>
      <c r="C20" s="226">
        <v>29730</v>
      </c>
      <c r="D20" s="201"/>
      <c r="E20" s="227"/>
      <c r="F20" s="186">
        <f>+C20</f>
        <v>29730</v>
      </c>
      <c r="G20" s="19">
        <f>+F20</f>
        <v>29730</v>
      </c>
      <c r="I20" s="200"/>
      <c r="J20" s="201">
        <f>-G20</f>
        <v>-29730</v>
      </c>
      <c r="K20" s="219"/>
      <c r="L20" s="219"/>
      <c r="M20" s="2"/>
      <c r="N20" s="2"/>
      <c r="P20" s="15"/>
      <c r="Q20" s="15"/>
      <c r="R20" s="2"/>
      <c r="S20" s="2"/>
    </row>
    <row r="21" spans="1:19" x14ac:dyDescent="0.25">
      <c r="B21" s="19" t="s">
        <v>163</v>
      </c>
      <c r="C21" s="226">
        <f>+OPERBUD3!J120-OPERBUD3!H120</f>
        <v>61754.670000000013</v>
      </c>
      <c r="D21" s="201"/>
      <c r="E21" s="227"/>
      <c r="F21" s="186">
        <f>+C21-6273</f>
        <v>55481.670000000013</v>
      </c>
      <c r="G21" s="19">
        <f>+F21</f>
        <v>55481.670000000013</v>
      </c>
      <c r="I21" s="200"/>
      <c r="J21" s="201">
        <f>-G21</f>
        <v>-55481.670000000013</v>
      </c>
      <c r="K21" s="219"/>
      <c r="L21" s="219"/>
      <c r="M21" s="2"/>
      <c r="N21" s="2"/>
      <c r="P21" s="15"/>
      <c r="Q21" s="15"/>
      <c r="R21" s="2"/>
      <c r="S21" s="2"/>
    </row>
    <row r="22" spans="1:19" x14ac:dyDescent="0.25">
      <c r="B22" s="19" t="s">
        <v>176</v>
      </c>
      <c r="C22" s="226">
        <v>7000</v>
      </c>
      <c r="D22" s="201"/>
      <c r="E22" s="227"/>
      <c r="F22" s="186">
        <v>12000</v>
      </c>
      <c r="G22" s="19">
        <f>+F22</f>
        <v>12000</v>
      </c>
      <c r="I22" s="200"/>
      <c r="J22" s="201">
        <v>-12000</v>
      </c>
      <c r="K22" s="219"/>
      <c r="L22" s="219"/>
      <c r="M22" s="2"/>
      <c r="N22" s="2"/>
      <c r="P22" s="15"/>
      <c r="Q22" s="15"/>
      <c r="R22" s="2"/>
      <c r="S22" s="2"/>
    </row>
    <row r="23" spans="1:19" ht="16.5" thickBot="1" x14ac:dyDescent="0.3">
      <c r="B23" s="19" t="s">
        <v>110</v>
      </c>
      <c r="C23" s="226">
        <v>20274</v>
      </c>
      <c r="D23" s="201"/>
      <c r="E23" s="227"/>
      <c r="F23" s="186"/>
      <c r="I23" s="200"/>
      <c r="J23" s="201"/>
      <c r="K23" s="202"/>
      <c r="L23" s="202"/>
      <c r="M23" s="2"/>
      <c r="N23" s="2"/>
      <c r="P23" s="15"/>
      <c r="Q23" s="15"/>
      <c r="R23" s="2"/>
      <c r="S23" s="2"/>
    </row>
    <row r="24" spans="1:19" ht="16.5" thickBot="1" x14ac:dyDescent="0.3">
      <c r="A24" s="42">
        <v>3</v>
      </c>
      <c r="B24" s="26" t="s">
        <v>161</v>
      </c>
      <c r="C24" s="230">
        <f>+SUM(C19:C23)</f>
        <v>140238.67000000001</v>
      </c>
      <c r="D24" s="214"/>
      <c r="E24" s="231">
        <f>+SUM(E19:E23)</f>
        <v>0</v>
      </c>
      <c r="F24" s="187">
        <f>+SUM(F19:F23)</f>
        <v>118691.67000000001</v>
      </c>
      <c r="G24" s="27">
        <f>+SUM(G19:G23)</f>
        <v>118691.67000000001</v>
      </c>
      <c r="H24" s="27"/>
      <c r="I24" s="210">
        <f>+SUM(I19:I23)</f>
        <v>0</v>
      </c>
      <c r="J24" s="211">
        <f>+SUM(J19:J23)</f>
        <v>-118691.67000000001</v>
      </c>
      <c r="K24" s="212">
        <f>+SUM(K19:K23)</f>
        <v>0</v>
      </c>
      <c r="L24" s="212">
        <f>+G24-C24</f>
        <v>-21547</v>
      </c>
      <c r="M24" s="25"/>
      <c r="N24" s="25"/>
      <c r="O24" s="25"/>
      <c r="P24" s="15"/>
      <c r="Q24" s="15"/>
      <c r="R24" s="2"/>
      <c r="S24" s="2"/>
    </row>
    <row r="25" spans="1:19" ht="16.5" thickBot="1" x14ac:dyDescent="0.3">
      <c r="A25" s="42" t="s">
        <v>175</v>
      </c>
      <c r="B25" s="24" t="s">
        <v>124</v>
      </c>
      <c r="C25" s="228">
        <f>+C24+C18</f>
        <v>29553142.510000005</v>
      </c>
      <c r="D25" s="211"/>
      <c r="E25" s="229">
        <f>+E24+E18</f>
        <v>680427.6400000006</v>
      </c>
      <c r="F25" s="187">
        <f>+F24+F18</f>
        <v>152466.67000000001</v>
      </c>
      <c r="G25" s="22">
        <f>+G24+G18</f>
        <v>29366945.780000001</v>
      </c>
      <c r="H25" s="22"/>
      <c r="I25" s="210">
        <f>+I24+I18</f>
        <v>-29214479.109999999</v>
      </c>
      <c r="J25" s="211">
        <f>+J24+J18</f>
        <v>-152466.67000000001</v>
      </c>
      <c r="K25" s="212">
        <f>+K24+K18</f>
        <v>0</v>
      </c>
      <c r="L25" s="212">
        <f>+G25-C25</f>
        <v>-186196.73000000417</v>
      </c>
      <c r="M25" s="2"/>
      <c r="N25" s="2"/>
      <c r="P25" s="15"/>
      <c r="Q25" s="15"/>
      <c r="R25" s="2"/>
      <c r="S25" s="2"/>
    </row>
    <row r="26" spans="1:19" s="98" customFormat="1" x14ac:dyDescent="0.25">
      <c r="A26" s="241"/>
      <c r="B26" s="242"/>
      <c r="C26" s="243"/>
      <c r="D26" s="243"/>
      <c r="E26" s="243"/>
      <c r="F26" s="243"/>
      <c r="G26" s="243"/>
      <c r="H26" s="243"/>
      <c r="I26" s="243"/>
      <c r="J26" s="243"/>
      <c r="K26" s="243"/>
      <c r="L26" s="243"/>
      <c r="O26" s="244"/>
      <c r="P26" s="245"/>
      <c r="Q26" s="245"/>
    </row>
    <row r="27" spans="1:19" x14ac:dyDescent="0.25">
      <c r="B27" s="280" t="s">
        <v>172</v>
      </c>
      <c r="C27" s="280"/>
      <c r="D27" s="280"/>
      <c r="E27" s="280"/>
      <c r="F27" s="280"/>
      <c r="G27" s="280"/>
      <c r="H27" s="280"/>
      <c r="I27" s="280"/>
      <c r="J27" s="280"/>
      <c r="K27" s="280"/>
      <c r="L27" s="30"/>
      <c r="M27" s="2"/>
      <c r="N27" s="2"/>
      <c r="O27" s="28"/>
      <c r="P27" s="15"/>
      <c r="Q27" s="15"/>
      <c r="R27" s="2"/>
      <c r="S27" s="2"/>
    </row>
    <row r="28" spans="1:19" x14ac:dyDescent="0.25">
      <c r="B28" s="21" t="s">
        <v>111</v>
      </c>
      <c r="C28" s="226"/>
      <c r="D28" s="201"/>
      <c r="E28" s="227"/>
      <c r="F28" s="186"/>
      <c r="I28" s="200"/>
      <c r="J28" s="201"/>
      <c r="K28" s="202"/>
      <c r="L28" s="202"/>
      <c r="M28" s="2"/>
      <c r="N28" s="2"/>
      <c r="P28" s="15"/>
      <c r="Q28" s="15"/>
      <c r="R28" s="2"/>
      <c r="S28" s="2"/>
    </row>
    <row r="29" spans="1:19" x14ac:dyDescent="0.25">
      <c r="B29" s="17" t="s">
        <v>112</v>
      </c>
      <c r="C29" s="226">
        <v>7665</v>
      </c>
      <c r="D29" s="201"/>
      <c r="E29" s="227"/>
      <c r="F29" s="186"/>
      <c r="G29" s="19">
        <f>+C29</f>
        <v>7665</v>
      </c>
      <c r="I29" s="200"/>
      <c r="J29" s="201">
        <f>-G29</f>
        <v>-7665</v>
      </c>
      <c r="K29" s="202"/>
      <c r="L29" s="202"/>
      <c r="M29" s="2"/>
      <c r="N29" s="2"/>
      <c r="P29" s="15"/>
      <c r="Q29" s="15"/>
      <c r="R29" s="2"/>
      <c r="S29" s="2"/>
    </row>
    <row r="30" spans="1:19" x14ac:dyDescent="0.25">
      <c r="B30" s="17" t="s">
        <v>113</v>
      </c>
      <c r="C30" s="226">
        <v>184000</v>
      </c>
      <c r="D30" s="201"/>
      <c r="E30" s="227"/>
      <c r="F30" s="186"/>
      <c r="G30" s="19">
        <v>184000</v>
      </c>
      <c r="I30" s="200"/>
      <c r="J30" s="201">
        <v>0</v>
      </c>
      <c r="K30" s="202">
        <v>-184000</v>
      </c>
      <c r="L30" s="202"/>
      <c r="M30" s="2"/>
      <c r="N30" s="2"/>
      <c r="P30" s="15"/>
      <c r="Q30" s="15"/>
      <c r="R30" s="2"/>
      <c r="S30" s="2"/>
    </row>
    <row r="31" spans="1:19" x14ac:dyDescent="0.25">
      <c r="B31" s="17" t="s">
        <v>114</v>
      </c>
      <c r="C31" s="226">
        <f>370745-Uses!C30</f>
        <v>186745</v>
      </c>
      <c r="D31" s="201"/>
      <c r="E31" s="227"/>
      <c r="F31" s="186"/>
      <c r="G31" s="19">
        <f t="shared" ref="G31:G37" si="0">+C31</f>
        <v>186745</v>
      </c>
      <c r="I31" s="200"/>
      <c r="J31" s="201">
        <f t="shared" ref="J31:J37" si="1">-G31</f>
        <v>-186745</v>
      </c>
      <c r="K31" s="202"/>
      <c r="L31" s="202"/>
      <c r="M31" s="2"/>
      <c r="N31" s="2"/>
      <c r="P31" s="15"/>
      <c r="Q31" s="15"/>
      <c r="R31" s="2"/>
      <c r="S31" s="2"/>
    </row>
    <row r="32" spans="1:19" x14ac:dyDescent="0.25">
      <c r="B32" s="17" t="s">
        <v>120</v>
      </c>
      <c r="C32" s="226">
        <v>35500</v>
      </c>
      <c r="D32" s="201"/>
      <c r="E32" s="227"/>
      <c r="F32" s="186"/>
      <c r="G32" s="19">
        <f t="shared" si="0"/>
        <v>35500</v>
      </c>
      <c r="I32" s="200"/>
      <c r="J32" s="201">
        <f t="shared" si="1"/>
        <v>-35500</v>
      </c>
      <c r="K32" s="202"/>
      <c r="L32" s="202"/>
      <c r="M32" s="2"/>
      <c r="N32" s="25"/>
      <c r="P32" s="15"/>
      <c r="Q32" s="15"/>
      <c r="R32" s="2"/>
      <c r="S32" s="2"/>
    </row>
    <row r="33" spans="1:19" x14ac:dyDescent="0.25">
      <c r="B33" s="17" t="s">
        <v>115</v>
      </c>
      <c r="C33" s="226">
        <v>7500</v>
      </c>
      <c r="D33" s="201"/>
      <c r="E33" s="227"/>
      <c r="F33" s="186"/>
      <c r="G33" s="19">
        <f t="shared" si="0"/>
        <v>7500</v>
      </c>
      <c r="I33" s="200"/>
      <c r="J33" s="201">
        <f t="shared" si="1"/>
        <v>-7500</v>
      </c>
      <c r="K33" s="202"/>
      <c r="L33" s="202"/>
      <c r="M33" s="2"/>
      <c r="N33" s="25"/>
      <c r="P33" s="15"/>
      <c r="Q33" s="15"/>
      <c r="R33" s="2"/>
      <c r="S33" s="2"/>
    </row>
    <row r="34" spans="1:19" x14ac:dyDescent="0.25">
      <c r="B34" s="17" t="s">
        <v>116</v>
      </c>
      <c r="C34" s="226">
        <v>194603</v>
      </c>
      <c r="D34" s="201"/>
      <c r="E34" s="227"/>
      <c r="F34" s="186"/>
      <c r="G34" s="19">
        <f>C34</f>
        <v>194603</v>
      </c>
      <c r="I34" s="200"/>
      <c r="J34" s="201">
        <f>-G34</f>
        <v>-194603</v>
      </c>
      <c r="K34" s="202"/>
      <c r="L34" s="202"/>
      <c r="M34" s="2"/>
      <c r="N34" s="2"/>
      <c r="P34" s="15"/>
      <c r="Q34" s="15"/>
      <c r="R34" s="2"/>
      <c r="S34" s="2"/>
    </row>
    <row r="35" spans="1:19" x14ac:dyDescent="0.25">
      <c r="B35" s="17" t="s">
        <v>117</v>
      </c>
      <c r="C35" s="226">
        <v>67038</v>
      </c>
      <c r="D35" s="201"/>
      <c r="E35" s="227"/>
      <c r="F35" s="186"/>
      <c r="G35" s="19">
        <f t="shared" si="0"/>
        <v>67038</v>
      </c>
      <c r="I35" s="200"/>
      <c r="J35" s="201">
        <f t="shared" si="1"/>
        <v>-67038</v>
      </c>
      <c r="K35" s="202"/>
      <c r="L35" s="202"/>
      <c r="M35" s="2"/>
      <c r="N35" s="2"/>
      <c r="P35" s="15"/>
      <c r="Q35" s="15"/>
      <c r="R35" s="2"/>
      <c r="S35" s="2"/>
    </row>
    <row r="36" spans="1:19" x14ac:dyDescent="0.25">
      <c r="B36" s="17" t="s">
        <v>118</v>
      </c>
      <c r="C36" s="226">
        <v>46397</v>
      </c>
      <c r="D36" s="201"/>
      <c r="E36" s="227"/>
      <c r="F36" s="186"/>
      <c r="G36" s="19">
        <f t="shared" si="0"/>
        <v>46397</v>
      </c>
      <c r="I36" s="200"/>
      <c r="J36" s="201">
        <f t="shared" si="1"/>
        <v>-46397</v>
      </c>
      <c r="K36" s="202"/>
      <c r="L36" s="202"/>
      <c r="M36" s="2"/>
      <c r="N36" s="2"/>
      <c r="O36" s="28"/>
      <c r="P36" s="15"/>
      <c r="Q36" s="15"/>
      <c r="R36" s="2"/>
      <c r="S36" s="2"/>
    </row>
    <row r="37" spans="1:19" ht="16.5" thickBot="1" x14ac:dyDescent="0.3">
      <c r="B37" s="17" t="s">
        <v>119</v>
      </c>
      <c r="C37" s="226">
        <v>5000</v>
      </c>
      <c r="D37" s="201"/>
      <c r="E37" s="227"/>
      <c r="F37" s="186"/>
      <c r="G37" s="19">
        <f t="shared" si="0"/>
        <v>5000</v>
      </c>
      <c r="I37" s="200"/>
      <c r="J37" s="201">
        <f t="shared" si="1"/>
        <v>-5000</v>
      </c>
      <c r="K37" s="202"/>
      <c r="L37" s="202"/>
      <c r="M37" s="2"/>
      <c r="N37" s="2"/>
      <c r="O37" s="28"/>
      <c r="P37" s="15"/>
      <c r="Q37" s="15"/>
      <c r="R37" s="2"/>
      <c r="S37" s="2"/>
    </row>
    <row r="38" spans="1:19" ht="16.5" thickBot="1" x14ac:dyDescent="0.3">
      <c r="A38" s="42">
        <v>4</v>
      </c>
      <c r="B38" s="24" t="s">
        <v>125</v>
      </c>
      <c r="C38" s="228">
        <f>+SUM(C28:C37)</f>
        <v>734448</v>
      </c>
      <c r="D38" s="211"/>
      <c r="E38" s="229">
        <f>+SUM(E28:E37)</f>
        <v>0</v>
      </c>
      <c r="F38" s="187">
        <f>+SUM(F28:F37)</f>
        <v>0</v>
      </c>
      <c r="G38" s="22">
        <f>+SUM(G28:G37)</f>
        <v>734448</v>
      </c>
      <c r="H38" s="22"/>
      <c r="I38" s="210">
        <f>+SUM(I28:I37)</f>
        <v>0</v>
      </c>
      <c r="J38" s="211">
        <f>+SUM(J28:J37)</f>
        <v>-550448</v>
      </c>
      <c r="K38" s="212">
        <f>+SUM(K28:K37)</f>
        <v>-184000</v>
      </c>
      <c r="L38" s="212">
        <f>+G38-C38</f>
        <v>0</v>
      </c>
      <c r="M38" s="2"/>
      <c r="N38" s="2"/>
      <c r="O38" s="28"/>
      <c r="P38" s="15"/>
      <c r="Q38" s="15"/>
      <c r="R38" s="2"/>
      <c r="S38" s="2"/>
    </row>
    <row r="39" spans="1:19" x14ac:dyDescent="0.25">
      <c r="B39" s="21" t="s">
        <v>127</v>
      </c>
      <c r="C39" s="226"/>
      <c r="D39" s="201"/>
      <c r="E39" s="227"/>
      <c r="F39" s="186"/>
      <c r="I39" s="200"/>
      <c r="J39" s="201"/>
      <c r="K39" s="202"/>
      <c r="L39" s="202"/>
      <c r="M39" s="2"/>
      <c r="N39" s="2"/>
      <c r="O39" s="28"/>
      <c r="P39" s="15"/>
      <c r="Q39" s="15"/>
      <c r="R39" s="2"/>
      <c r="S39" s="2"/>
    </row>
    <row r="40" spans="1:19" x14ac:dyDescent="0.25">
      <c r="B40" s="17" t="s">
        <v>121</v>
      </c>
      <c r="C40" s="226">
        <v>5625</v>
      </c>
      <c r="D40" s="201"/>
      <c r="E40" s="227"/>
      <c r="F40" s="186"/>
      <c r="G40" s="19">
        <f>+C40</f>
        <v>5625</v>
      </c>
      <c r="I40" s="200"/>
      <c r="J40" s="201">
        <f>-G40</f>
        <v>-5625</v>
      </c>
      <c r="K40" s="202"/>
      <c r="L40" s="202"/>
      <c r="M40" s="2"/>
      <c r="N40" s="2"/>
      <c r="O40" s="28"/>
      <c r="P40" s="15"/>
      <c r="Q40" s="15"/>
      <c r="R40" s="2"/>
      <c r="S40" s="2"/>
    </row>
    <row r="41" spans="1:19" x14ac:dyDescent="0.25">
      <c r="B41" s="17" t="s">
        <v>122</v>
      </c>
      <c r="C41" s="226">
        <v>22813</v>
      </c>
      <c r="D41" s="201"/>
      <c r="E41" s="227"/>
      <c r="F41" s="186"/>
      <c r="G41" s="19">
        <f>+C41</f>
        <v>22813</v>
      </c>
      <c r="I41" s="200"/>
      <c r="J41" s="201">
        <f>-G41</f>
        <v>-22813</v>
      </c>
      <c r="K41" s="202"/>
      <c r="L41" s="202"/>
      <c r="M41" s="2"/>
      <c r="N41" s="2"/>
      <c r="O41" s="28"/>
      <c r="P41" s="15"/>
      <c r="Q41" s="15"/>
      <c r="R41" s="2"/>
      <c r="S41" s="2"/>
    </row>
    <row r="42" spans="1:19" x14ac:dyDescent="0.25">
      <c r="B42" s="17" t="s">
        <v>123</v>
      </c>
      <c r="C42" s="226">
        <v>58000</v>
      </c>
      <c r="D42" s="201"/>
      <c r="E42" s="227"/>
      <c r="F42" s="186"/>
      <c r="G42" s="19">
        <f>+C42</f>
        <v>58000</v>
      </c>
      <c r="I42" s="200"/>
      <c r="J42" s="201">
        <f>-G42</f>
        <v>-58000</v>
      </c>
      <c r="K42" s="202"/>
      <c r="L42" s="202"/>
      <c r="M42" s="2"/>
      <c r="N42" s="2"/>
      <c r="O42" s="28"/>
      <c r="P42" s="15"/>
      <c r="Q42" s="15"/>
      <c r="R42" s="2"/>
      <c r="S42" s="2"/>
    </row>
    <row r="43" spans="1:19" x14ac:dyDescent="0.25">
      <c r="B43" s="17" t="s">
        <v>135</v>
      </c>
      <c r="C43" s="226"/>
      <c r="D43" s="201"/>
      <c r="E43" s="227"/>
      <c r="F43" s="186"/>
      <c r="G43" s="19">
        <v>0</v>
      </c>
      <c r="I43" s="200"/>
      <c r="J43" s="201">
        <f>-G43</f>
        <v>0</v>
      </c>
      <c r="K43" s="202"/>
      <c r="L43" s="202"/>
      <c r="M43" s="2"/>
      <c r="N43" s="2"/>
      <c r="O43" s="28"/>
      <c r="P43" s="15"/>
      <c r="Q43" s="15"/>
      <c r="R43" s="2"/>
      <c r="S43" s="2"/>
    </row>
    <row r="44" spans="1:19" x14ac:dyDescent="0.25">
      <c r="B44" s="17" t="s">
        <v>168</v>
      </c>
      <c r="C44" s="226">
        <v>7995</v>
      </c>
      <c r="D44" s="201"/>
      <c r="E44" s="227"/>
      <c r="F44" s="186"/>
      <c r="G44" s="19">
        <f t="shared" ref="G44" si="2">+C44</f>
        <v>7995</v>
      </c>
      <c r="I44" s="200"/>
      <c r="J44" s="201">
        <f t="shared" ref="J44:J45" si="3">-G44</f>
        <v>-7995</v>
      </c>
      <c r="K44" s="202"/>
      <c r="L44" s="202"/>
      <c r="M44" s="2"/>
      <c r="N44" s="2"/>
      <c r="O44" s="28"/>
      <c r="P44" s="15"/>
      <c r="Q44" s="15"/>
      <c r="R44" s="2"/>
      <c r="S44" s="2"/>
    </row>
    <row r="45" spans="1:19" ht="16.5" thickBot="1" x14ac:dyDescent="0.3">
      <c r="B45" s="17" t="s">
        <v>140</v>
      </c>
      <c r="C45" s="226"/>
      <c r="D45" s="201"/>
      <c r="E45" s="227"/>
      <c r="F45" s="186"/>
      <c r="G45" s="19">
        <v>0</v>
      </c>
      <c r="I45" s="200"/>
      <c r="J45" s="201">
        <f t="shared" si="3"/>
        <v>0</v>
      </c>
      <c r="K45" s="202"/>
      <c r="L45" s="202"/>
      <c r="M45" s="2"/>
      <c r="N45" s="2"/>
      <c r="O45" s="28"/>
      <c r="P45" s="15"/>
      <c r="Q45" s="15"/>
      <c r="R45" s="2"/>
      <c r="S45" s="2"/>
    </row>
    <row r="46" spans="1:19" ht="16.5" thickBot="1" x14ac:dyDescent="0.3">
      <c r="A46" s="42">
        <v>5</v>
      </c>
      <c r="B46" s="24" t="s">
        <v>128</v>
      </c>
      <c r="C46" s="228">
        <f>+SUM(C40:C45)</f>
        <v>94433</v>
      </c>
      <c r="D46" s="211"/>
      <c r="E46" s="229">
        <f>+SUM(E40:E45)</f>
        <v>0</v>
      </c>
      <c r="F46" s="187">
        <f>+SUM(F40:F45)</f>
        <v>0</v>
      </c>
      <c r="G46" s="22">
        <f>+SUM(G40:G45)</f>
        <v>94433</v>
      </c>
      <c r="H46" s="22"/>
      <c r="I46" s="210">
        <f>+SUM(I40:I45)</f>
        <v>0</v>
      </c>
      <c r="J46" s="211">
        <f>+SUM(J40:J45)</f>
        <v>-94433</v>
      </c>
      <c r="K46" s="211">
        <f>+SUM(K40:K45)</f>
        <v>0</v>
      </c>
      <c r="L46" s="211">
        <f>+G46-C46</f>
        <v>0</v>
      </c>
      <c r="M46" s="25"/>
      <c r="N46" s="25"/>
      <c r="O46" s="28"/>
      <c r="P46" s="15"/>
      <c r="Q46" s="15"/>
      <c r="R46" s="2"/>
      <c r="S46" s="2"/>
    </row>
    <row r="47" spans="1:19" ht="16.5" thickBot="1" x14ac:dyDescent="0.3">
      <c r="A47" s="42" t="s">
        <v>178</v>
      </c>
      <c r="B47" s="24" t="s">
        <v>177</v>
      </c>
      <c r="C47" s="211">
        <f>+C46+C38</f>
        <v>828881</v>
      </c>
      <c r="D47" s="211"/>
      <c r="E47" s="211">
        <f>+E46+E38</f>
        <v>0</v>
      </c>
      <c r="F47" s="187">
        <f>F46+F38</f>
        <v>0</v>
      </c>
      <c r="G47" s="211">
        <f>+G46+G38</f>
        <v>828881</v>
      </c>
      <c r="H47" s="22"/>
      <c r="I47" s="211">
        <f>+I46+I38</f>
        <v>0</v>
      </c>
      <c r="J47" s="211">
        <f>+J46+J38</f>
        <v>-644881</v>
      </c>
      <c r="K47" s="211">
        <f>+K46+K38</f>
        <v>-184000</v>
      </c>
      <c r="L47" s="211">
        <f>+G47-C47</f>
        <v>0</v>
      </c>
      <c r="M47" s="2"/>
      <c r="N47" s="2"/>
      <c r="P47" s="15"/>
      <c r="Q47" s="15"/>
      <c r="R47" s="2"/>
      <c r="S47" s="2"/>
    </row>
    <row r="48" spans="1:19" s="98" customFormat="1" ht="16.5" thickBot="1" x14ac:dyDescent="0.3">
      <c r="A48" s="241"/>
      <c r="B48" s="269"/>
      <c r="C48" s="270"/>
      <c r="D48" s="270"/>
      <c r="E48" s="270"/>
      <c r="F48" s="270"/>
      <c r="G48" s="270"/>
      <c r="H48" s="270"/>
      <c r="I48" s="270"/>
      <c r="J48" s="270"/>
      <c r="K48" s="270"/>
      <c r="L48" s="270"/>
      <c r="P48" s="245"/>
      <c r="Q48" s="245"/>
    </row>
    <row r="49" spans="1:19" ht="16.5" thickBot="1" x14ac:dyDescent="0.3">
      <c r="B49" s="24" t="s">
        <v>180</v>
      </c>
      <c r="C49" s="211">
        <f>+C47+C25+C10</f>
        <v>31218174.510000005</v>
      </c>
      <c r="D49" s="211"/>
      <c r="E49" s="211"/>
      <c r="F49" s="187"/>
      <c r="G49" s="211">
        <f>+G47+G25+G10</f>
        <v>31031977.780000001</v>
      </c>
      <c r="H49" s="22"/>
      <c r="I49" s="211">
        <f>+I47+I25+I10</f>
        <v>-30050630.109999999</v>
      </c>
      <c r="J49" s="211">
        <f>+J47+J25+J10</f>
        <v>-797347.67</v>
      </c>
      <c r="K49" s="211">
        <f>+K47+K25+K10</f>
        <v>-184000</v>
      </c>
      <c r="L49" s="211"/>
      <c r="M49" s="2"/>
      <c r="N49" s="2"/>
      <c r="P49" s="15"/>
      <c r="Q49" s="15"/>
      <c r="R49" s="2"/>
      <c r="S49" s="2"/>
    </row>
    <row r="50" spans="1:19" s="98" customFormat="1" x14ac:dyDescent="0.25">
      <c r="A50" s="241"/>
      <c r="B50" s="242"/>
      <c r="C50" s="243"/>
      <c r="D50" s="243"/>
      <c r="E50" s="243"/>
      <c r="F50" s="243"/>
      <c r="G50" s="243"/>
      <c r="H50" s="243"/>
      <c r="I50" s="243"/>
      <c r="J50" s="243"/>
      <c r="K50" s="243"/>
      <c r="L50" s="243"/>
      <c r="O50" s="244"/>
      <c r="P50" s="245"/>
      <c r="Q50" s="245"/>
    </row>
    <row r="51" spans="1:19" x14ac:dyDescent="0.25">
      <c r="B51" s="280" t="s">
        <v>170</v>
      </c>
      <c r="C51" s="280"/>
      <c r="D51" s="280"/>
      <c r="E51" s="280"/>
      <c r="F51" s="280"/>
      <c r="G51" s="280"/>
      <c r="H51" s="280"/>
      <c r="I51" s="281"/>
      <c r="J51" s="281"/>
      <c r="K51" s="281"/>
      <c r="L51" s="30"/>
      <c r="M51" s="2"/>
      <c r="N51" s="2"/>
      <c r="O51" s="28"/>
      <c r="P51" s="15"/>
      <c r="Q51" s="15"/>
      <c r="R51" s="2"/>
      <c r="S51" s="2"/>
    </row>
    <row r="52" spans="1:19" s="44" customFormat="1" ht="57.75" thickBot="1" x14ac:dyDescent="0.5">
      <c r="A52" s="43"/>
      <c r="B52" s="191" t="s">
        <v>101</v>
      </c>
      <c r="C52" s="220" t="s">
        <v>179</v>
      </c>
      <c r="D52" s="221"/>
      <c r="E52" s="222"/>
      <c r="F52" s="193"/>
      <c r="G52" s="194" t="s">
        <v>137</v>
      </c>
      <c r="H52" s="192"/>
      <c r="I52" s="203" t="s">
        <v>155</v>
      </c>
      <c r="J52" s="204" t="s">
        <v>94</v>
      </c>
      <c r="K52" s="205" t="s">
        <v>98</v>
      </c>
      <c r="L52" s="271"/>
      <c r="O52" s="45"/>
      <c r="P52" s="46"/>
      <c r="Q52" s="46"/>
    </row>
    <row r="53" spans="1:19" ht="16.5" thickTop="1" x14ac:dyDescent="0.25">
      <c r="B53" s="195" t="s">
        <v>90</v>
      </c>
      <c r="C53" s="246">
        <f>+Sources!J4</f>
        <v>6265462</v>
      </c>
      <c r="F53" s="186"/>
      <c r="G53" s="259">
        <f>C53</f>
        <v>6265462</v>
      </c>
      <c r="I53" s="246">
        <f>+G53</f>
        <v>6265462</v>
      </c>
      <c r="J53" s="247"/>
      <c r="K53" s="248"/>
      <c r="L53" s="272"/>
      <c r="M53" s="2"/>
      <c r="N53" s="2"/>
      <c r="O53" s="28"/>
      <c r="P53" s="15"/>
      <c r="Q53" s="15"/>
      <c r="R53" s="2"/>
      <c r="S53" s="2"/>
    </row>
    <row r="54" spans="1:19" x14ac:dyDescent="0.25">
      <c r="B54" s="195" t="s">
        <v>91</v>
      </c>
      <c r="C54" s="249">
        <f>+Sources!J5</f>
        <v>2089062</v>
      </c>
      <c r="F54" s="186"/>
      <c r="G54" s="249">
        <f t="shared" ref="G54:G59" si="4">C54</f>
        <v>2089062</v>
      </c>
      <c r="I54" s="249">
        <f>+G54</f>
        <v>2089062</v>
      </c>
      <c r="J54" s="250"/>
      <c r="K54" s="251"/>
      <c r="L54" s="272"/>
      <c r="M54" s="2"/>
      <c r="N54" s="2"/>
      <c r="O54" s="28"/>
      <c r="P54" s="15"/>
      <c r="Q54" s="15"/>
      <c r="R54" s="2"/>
      <c r="S54" s="2"/>
    </row>
    <row r="55" spans="1:19" x14ac:dyDescent="0.25">
      <c r="B55" s="195" t="s">
        <v>96</v>
      </c>
      <c r="C55" s="249">
        <f>+Sources!J6</f>
        <v>227872</v>
      </c>
      <c r="F55" s="186"/>
      <c r="G55" s="249">
        <f t="shared" si="4"/>
        <v>227872</v>
      </c>
      <c r="I55" s="249">
        <f t="shared" ref="I55:I58" si="5">+G55</f>
        <v>227872</v>
      </c>
      <c r="J55" s="250"/>
      <c r="K55" s="251"/>
      <c r="L55" s="272"/>
      <c r="M55" s="2"/>
      <c r="N55" s="2"/>
      <c r="O55" s="28"/>
      <c r="P55" s="15"/>
      <c r="Q55" s="15"/>
      <c r="R55" s="2"/>
      <c r="S55" s="2"/>
    </row>
    <row r="56" spans="1:19" x14ac:dyDescent="0.25">
      <c r="B56" s="195" t="s">
        <v>97</v>
      </c>
      <c r="C56" s="249">
        <f>+Sources!J7</f>
        <v>173719</v>
      </c>
      <c r="F56" s="186"/>
      <c r="G56" s="249">
        <f t="shared" si="4"/>
        <v>173719</v>
      </c>
      <c r="I56" s="249">
        <f t="shared" si="5"/>
        <v>173719</v>
      </c>
      <c r="J56" s="250"/>
      <c r="K56" s="251"/>
      <c r="L56" s="272"/>
      <c r="M56" s="2"/>
      <c r="N56" s="2"/>
      <c r="O56" s="28"/>
      <c r="P56" s="15"/>
      <c r="Q56" s="15"/>
      <c r="R56" s="2"/>
      <c r="S56" s="2"/>
    </row>
    <row r="57" spans="1:19" x14ac:dyDescent="0.25">
      <c r="B57" s="195" t="s">
        <v>130</v>
      </c>
      <c r="C57" s="249">
        <f>+Sources!J8</f>
        <v>513050.14</v>
      </c>
      <c r="F57" s="186"/>
      <c r="G57" s="249">
        <f t="shared" si="4"/>
        <v>513050.14</v>
      </c>
      <c r="I57" s="249">
        <f t="shared" si="5"/>
        <v>513050.14</v>
      </c>
      <c r="J57" s="250"/>
      <c r="K57" s="251"/>
      <c r="L57" s="272"/>
      <c r="M57" s="2"/>
      <c r="N57" s="2"/>
      <c r="O57" s="28"/>
      <c r="P57" s="15"/>
      <c r="Q57" s="15"/>
      <c r="R57" s="2"/>
      <c r="S57" s="2"/>
    </row>
    <row r="58" spans="1:19" x14ac:dyDescent="0.25">
      <c r="B58" s="195" t="s">
        <v>92</v>
      </c>
      <c r="C58" s="249">
        <f>+Sources!J9</f>
        <v>20781466.309999999</v>
      </c>
      <c r="F58" s="186"/>
      <c r="G58" s="249">
        <f t="shared" si="4"/>
        <v>20781466.309999999</v>
      </c>
      <c r="I58" s="249">
        <f t="shared" si="5"/>
        <v>20781466.309999999</v>
      </c>
      <c r="J58" s="250"/>
      <c r="K58" s="251"/>
      <c r="L58" s="272"/>
      <c r="M58" s="2"/>
      <c r="N58" s="2"/>
      <c r="O58" s="28"/>
      <c r="P58" s="15"/>
      <c r="Q58" s="15"/>
      <c r="R58" s="2"/>
      <c r="S58" s="2"/>
    </row>
    <row r="59" spans="1:19" x14ac:dyDescent="0.25">
      <c r="B59" s="195" t="s">
        <v>94</v>
      </c>
      <c r="C59" s="249">
        <f>+Sources!J15</f>
        <v>799003</v>
      </c>
      <c r="F59" s="186"/>
      <c r="G59" s="249">
        <f t="shared" si="4"/>
        <v>799003</v>
      </c>
      <c r="I59" s="252"/>
      <c r="J59" s="250">
        <f>+G59</f>
        <v>799003</v>
      </c>
      <c r="K59" s="253"/>
      <c r="L59" s="273"/>
      <c r="M59" s="2"/>
      <c r="N59" s="2"/>
      <c r="O59" s="28"/>
      <c r="P59" s="15"/>
      <c r="Q59" s="15"/>
      <c r="R59" s="2"/>
      <c r="S59" s="2"/>
    </row>
    <row r="60" spans="1:19" ht="16.5" thickBot="1" x14ac:dyDescent="0.3">
      <c r="B60" s="196" t="s">
        <v>98</v>
      </c>
      <c r="C60" s="249">
        <f>+Sources!J18</f>
        <v>378603</v>
      </c>
      <c r="F60" s="186"/>
      <c r="G60" s="260">
        <v>184000</v>
      </c>
      <c r="I60" s="249"/>
      <c r="J60" s="250"/>
      <c r="K60" s="251">
        <f>+G60</f>
        <v>184000</v>
      </c>
      <c r="L60" s="272"/>
      <c r="M60" s="2"/>
      <c r="N60" s="2"/>
      <c r="O60" s="28"/>
      <c r="P60" s="15"/>
      <c r="Q60" s="15"/>
      <c r="R60" s="2"/>
      <c r="S60" s="2"/>
    </row>
    <row r="61" spans="1:19" ht="16.5" thickBot="1" x14ac:dyDescent="0.3">
      <c r="A61" s="42">
        <v>7</v>
      </c>
      <c r="B61" s="26" t="s">
        <v>169</v>
      </c>
      <c r="C61" s="254">
        <f>SUM(C53:C60)</f>
        <v>31228237.449999999</v>
      </c>
      <c r="D61" s="197"/>
      <c r="E61" s="198"/>
      <c r="F61" s="199"/>
      <c r="G61" s="197">
        <f>SUM(G53:G60)</f>
        <v>31033634.449999999</v>
      </c>
      <c r="H61" s="197"/>
      <c r="I61" s="254">
        <f>+Sources!J10</f>
        <v>30050631.449999999</v>
      </c>
      <c r="J61" s="255">
        <f>+Sources!J15</f>
        <v>799003</v>
      </c>
      <c r="K61" s="256">
        <f>-K30</f>
        <v>184000</v>
      </c>
      <c r="L61" s="274"/>
      <c r="M61" s="2"/>
      <c r="N61" s="2"/>
      <c r="O61" s="28"/>
      <c r="P61" s="15"/>
      <c r="Q61" s="15"/>
      <c r="R61" s="2"/>
      <c r="S61" s="2"/>
    </row>
    <row r="62" spans="1:19" ht="5.85" customHeight="1" thickBot="1" x14ac:dyDescent="0.3">
      <c r="C62" s="257"/>
      <c r="F62" s="186"/>
      <c r="I62" s="257"/>
      <c r="L62" s="30"/>
      <c r="M62" s="2"/>
      <c r="N62" s="2"/>
      <c r="O62" s="28"/>
      <c r="P62" s="15"/>
      <c r="Q62" s="15"/>
      <c r="R62" s="2"/>
      <c r="S62" s="2"/>
    </row>
    <row r="63" spans="1:19" ht="16.5" thickBot="1" x14ac:dyDescent="0.3">
      <c r="B63" s="24" t="s">
        <v>126</v>
      </c>
      <c r="C63" s="258">
        <f>+C61-C49</f>
        <v>10062.939999993891</v>
      </c>
      <c r="D63" s="22"/>
      <c r="E63" s="22"/>
      <c r="F63" s="187"/>
      <c r="G63" s="258">
        <f>+G61-G49</f>
        <v>1656.6699999980628</v>
      </c>
      <c r="H63" s="22"/>
      <c r="I63" s="228">
        <f>+I61+I49</f>
        <v>1.3399999998509884</v>
      </c>
      <c r="J63" s="211">
        <f>+J61+J49</f>
        <v>1655.3299999999581</v>
      </c>
      <c r="K63" s="229">
        <f>+K61+K49</f>
        <v>0</v>
      </c>
      <c r="L63" s="275"/>
      <c r="M63" s="2"/>
      <c r="N63" s="2"/>
      <c r="O63" s="28"/>
      <c r="P63" s="15"/>
      <c r="Q63" s="15"/>
      <c r="R63" s="2"/>
      <c r="S63" s="2"/>
    </row>
    <row r="64" spans="1:19" ht="16.5" thickBot="1" x14ac:dyDescent="0.3">
      <c r="L64" s="30"/>
    </row>
    <row r="65" spans="2:12" ht="21" x14ac:dyDescent="0.35">
      <c r="B65" s="21"/>
      <c r="I65" s="285" t="s">
        <v>198</v>
      </c>
      <c r="J65" s="286"/>
      <c r="K65" s="287"/>
      <c r="L65" s="30"/>
    </row>
    <row r="66" spans="2:12" x14ac:dyDescent="0.25">
      <c r="B66" s="19"/>
      <c r="I66" s="31"/>
      <c r="J66" s="37" t="s">
        <v>158</v>
      </c>
      <c r="K66" s="32">
        <f>+Sources!J10</f>
        <v>30050631.449999999</v>
      </c>
      <c r="L66" s="276"/>
    </row>
    <row r="67" spans="2:12" ht="16.5" thickBot="1" x14ac:dyDescent="0.3">
      <c r="B67" s="19"/>
      <c r="I67" s="33"/>
      <c r="J67" s="38" t="s">
        <v>144</v>
      </c>
      <c r="K67" s="34">
        <f>-G10</f>
        <v>-836151</v>
      </c>
      <c r="L67" s="276"/>
    </row>
    <row r="68" spans="2:12" ht="16.5" thickTop="1" x14ac:dyDescent="0.25">
      <c r="I68" s="31"/>
      <c r="J68" s="37" t="s">
        <v>199</v>
      </c>
      <c r="K68" s="32">
        <f>+K67+K66</f>
        <v>29214480.449999999</v>
      </c>
      <c r="L68" s="276"/>
    </row>
    <row r="69" spans="2:12" ht="16.5" thickBot="1" x14ac:dyDescent="0.3">
      <c r="I69" s="33"/>
      <c r="J69" s="38" t="s">
        <v>103</v>
      </c>
      <c r="K69" s="34">
        <f>-G14</f>
        <v>-7419931.8100000005</v>
      </c>
      <c r="L69" s="276"/>
    </row>
    <row r="70" spans="2:12" ht="16.5" thickTop="1" x14ac:dyDescent="0.25">
      <c r="I70" s="31"/>
      <c r="J70" s="37" t="s">
        <v>145</v>
      </c>
      <c r="K70" s="32">
        <f>+K69+K68</f>
        <v>21794548.640000001</v>
      </c>
      <c r="L70" s="276"/>
    </row>
    <row r="71" spans="2:12" ht="16.5" thickBot="1" x14ac:dyDescent="0.3">
      <c r="I71" s="33"/>
      <c r="J71" s="38" t="s">
        <v>138</v>
      </c>
      <c r="K71" s="34">
        <f>21114121</f>
        <v>21114121</v>
      </c>
      <c r="L71" s="276"/>
    </row>
    <row r="72" spans="2:12" ht="16.5" thickTop="1" x14ac:dyDescent="0.25">
      <c r="I72" s="39"/>
      <c r="J72" s="40" t="s">
        <v>159</v>
      </c>
      <c r="K72" s="41">
        <f>+K70-K71</f>
        <v>680427.6400000006</v>
      </c>
      <c r="L72" s="276"/>
    </row>
    <row r="73" spans="2:12" ht="31.5" customHeight="1" thickBot="1" x14ac:dyDescent="0.3">
      <c r="I73" s="282" t="s">
        <v>160</v>
      </c>
      <c r="J73" s="283"/>
      <c r="K73" s="284"/>
      <c r="L73" s="30"/>
    </row>
    <row r="74" spans="2:12" x14ac:dyDescent="0.25">
      <c r="L74" s="30"/>
    </row>
  </sheetData>
  <mergeCells count="8">
    <mergeCell ref="I73:K73"/>
    <mergeCell ref="I65:K65"/>
    <mergeCell ref="I1:J1"/>
    <mergeCell ref="B1:G1"/>
    <mergeCell ref="B51:K51"/>
    <mergeCell ref="B27:K27"/>
    <mergeCell ref="B4:K4"/>
    <mergeCell ref="B12:K12"/>
  </mergeCells>
  <pageMargins left="0" right="0" top="0.75" bottom="0.75" header="0.3" footer="0.3"/>
  <pageSetup scale="65" fitToHeight="2" orientation="landscape" r:id="rId1"/>
  <rowBreaks count="2" manualBreakCount="2">
    <brk id="26" max="11" man="1"/>
    <brk id="50" max="11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87"/>
  <sheetViews>
    <sheetView topLeftCell="A2" workbookViewId="0">
      <selection activeCell="I9" sqref="I9"/>
    </sheetView>
  </sheetViews>
  <sheetFormatPr defaultColWidth="8.625" defaultRowHeight="12.75" x14ac:dyDescent="0.2"/>
  <cols>
    <col min="1" max="1" width="38.375" style="99" customWidth="1"/>
    <col min="2" max="3" width="16.25" style="100" hidden="1" customWidth="1"/>
    <col min="4" max="10" width="16.25" style="100" bestFit="1" customWidth="1"/>
    <col min="11" max="12" width="15.5" style="100" customWidth="1"/>
    <col min="13" max="13" width="11.125" style="100" customWidth="1"/>
    <col min="14" max="14" width="11.125" style="101" customWidth="1"/>
    <col min="15" max="15" width="10.375" style="98" hidden="1" customWidth="1"/>
    <col min="16" max="28" width="0" style="98" hidden="1" customWidth="1"/>
    <col min="29" max="29" width="8.625" style="98"/>
    <col min="30" max="31" width="8.875" style="98" bestFit="1" customWidth="1"/>
    <col min="32" max="16384" width="8.625" style="98"/>
  </cols>
  <sheetData>
    <row r="1" spans="1:33" ht="15.75" x14ac:dyDescent="0.25">
      <c r="A1" s="288" t="s">
        <v>151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</row>
    <row r="2" spans="1:33" ht="13.5" thickBot="1" x14ac:dyDescent="0.25"/>
    <row r="3" spans="1:33" x14ac:dyDescent="0.2">
      <c r="A3" s="102" t="s">
        <v>57</v>
      </c>
      <c r="B3" s="103" t="s">
        <v>60</v>
      </c>
      <c r="C3" s="103" t="s">
        <v>59</v>
      </c>
      <c r="D3" s="103" t="s">
        <v>62</v>
      </c>
      <c r="E3" s="103" t="s">
        <v>65</v>
      </c>
      <c r="F3" s="103" t="s">
        <v>67</v>
      </c>
      <c r="G3" s="103" t="s">
        <v>69</v>
      </c>
      <c r="H3" s="103" t="s">
        <v>71</v>
      </c>
      <c r="I3" s="104" t="s">
        <v>187</v>
      </c>
      <c r="J3" s="104" t="s">
        <v>188</v>
      </c>
      <c r="K3" s="105" t="s">
        <v>150</v>
      </c>
      <c r="L3" s="105"/>
      <c r="M3" s="159"/>
      <c r="N3" s="159"/>
    </row>
    <row r="4" spans="1:33" s="268" customFormat="1" ht="38.25" x14ac:dyDescent="0.2">
      <c r="A4" s="264" t="s">
        <v>58</v>
      </c>
      <c r="B4" s="265" t="s">
        <v>53</v>
      </c>
      <c r="C4" s="265" t="s">
        <v>53</v>
      </c>
      <c r="D4" s="265" t="s">
        <v>53</v>
      </c>
      <c r="E4" s="265" t="s">
        <v>53</v>
      </c>
      <c r="F4" s="265" t="s">
        <v>53</v>
      </c>
      <c r="G4" s="265" t="s">
        <v>53</v>
      </c>
      <c r="H4" s="265" t="s">
        <v>70</v>
      </c>
      <c r="I4" s="266" t="s">
        <v>189</v>
      </c>
      <c r="J4" s="266" t="s">
        <v>190</v>
      </c>
      <c r="K4" s="265" t="s">
        <v>194</v>
      </c>
      <c r="L4" s="265" t="s">
        <v>191</v>
      </c>
      <c r="M4" s="267" t="s">
        <v>192</v>
      </c>
      <c r="N4" s="267" t="s">
        <v>193</v>
      </c>
    </row>
    <row r="5" spans="1:33" x14ac:dyDescent="0.2">
      <c r="A5" s="106" t="s">
        <v>42</v>
      </c>
      <c r="B5" s="107">
        <f>+VLOOKUP($A5,OPERBUD3!$A:$J,MATCH(B$3,OPERBUD3!$A$1:$L$1,0),FALSE)</f>
        <v>4677121.71</v>
      </c>
      <c r="C5" s="107">
        <f>+VLOOKUP($A5,OPERBUD3!$A:$J,MATCH(C$3,OPERBUD3!$A$1:$L$1,0),FALSE)</f>
        <v>4897407.3550000004</v>
      </c>
      <c r="D5" s="107">
        <f>+VLOOKUP($A5,OPERBUD3!$A:$J,MATCH(D$3,OPERBUD3!$A$1:$L$1,0),FALSE)</f>
        <v>5106700.9599999981</v>
      </c>
      <c r="E5" s="107">
        <f>+VLOOKUP($A5,OPERBUD3!$A:$J,MATCH(E$3,OPERBUD3!$A$1:$L$1,0),FALSE)</f>
        <v>5343115.0500000017</v>
      </c>
      <c r="F5" s="107">
        <f>+VLOOKUP($A5,OPERBUD3!$A:$J,MATCH(F$3,OPERBUD3!$A$1:$L$1,0),FALSE)</f>
        <v>5588411.8599999975</v>
      </c>
      <c r="G5" s="107">
        <f>+VLOOKUP($A5,OPERBUD3!$A:$J,MATCH(G$3,OPERBUD3!$A$1:$L$1,0),FALSE)</f>
        <v>6161979.444046</v>
      </c>
      <c r="H5" s="107">
        <f>+VLOOKUP($A5,OPERBUD3!$A:$J,MATCH(H$3,OPERBUD3!$A$1:$L$1,0),FALSE)</f>
        <v>6523190.0700000003</v>
      </c>
      <c r="I5" s="108">
        <f>+VLOOKUP($A5,OPERBUD3!$A:$J,MATCH(I$3,OPERBUD3!$A$1:$L$1,0),FALSE)</f>
        <v>6727533.5900000008</v>
      </c>
      <c r="J5" s="108">
        <f>+VLOOKUP($A5,OPERBUD3!$A:$J,MATCH(J$3,OPERBUD3!$A$1:$L$1,0),FALSE)</f>
        <v>6727533.5900000008</v>
      </c>
      <c r="K5" s="107">
        <f>+VLOOKUP($A5,OPERBUD3!$A:$L,MATCH(K$3,OPERBUD3!$A$1:$L$1,0),FALSE)</f>
        <v>6727533.5900000008</v>
      </c>
      <c r="L5" s="107">
        <f t="shared" ref="L5:L14" si="0">+K5-J5</f>
        <v>0</v>
      </c>
      <c r="M5" s="115"/>
      <c r="N5" s="115"/>
    </row>
    <row r="6" spans="1:33" x14ac:dyDescent="0.2">
      <c r="A6" s="109" t="s">
        <v>77</v>
      </c>
      <c r="B6" s="107">
        <f>-B29</f>
        <v>-192476.15</v>
      </c>
      <c r="C6" s="107">
        <f t="shared" ref="C6:J6" si="1">-C29</f>
        <v>-250693.95</v>
      </c>
      <c r="D6" s="107">
        <f t="shared" si="1"/>
        <v>-253280.54</v>
      </c>
      <c r="E6" s="107">
        <f t="shared" si="1"/>
        <v>-273340.87</v>
      </c>
      <c r="F6" s="107">
        <f t="shared" si="1"/>
        <v>-320038</v>
      </c>
      <c r="G6" s="107">
        <f t="shared" si="1"/>
        <v>-381583</v>
      </c>
      <c r="H6" s="107">
        <f t="shared" si="1"/>
        <v>-397158</v>
      </c>
      <c r="I6" s="108">
        <f>+J6</f>
        <v>-408803</v>
      </c>
      <c r="J6" s="108">
        <f t="shared" si="1"/>
        <v>-408803</v>
      </c>
      <c r="K6" s="107">
        <f t="shared" ref="K6" si="2">-K29</f>
        <v>-408803</v>
      </c>
      <c r="L6" s="107">
        <f t="shared" si="0"/>
        <v>0</v>
      </c>
      <c r="M6" s="115"/>
      <c r="N6" s="115"/>
    </row>
    <row r="7" spans="1:33" x14ac:dyDescent="0.2">
      <c r="A7" s="110" t="s">
        <v>78</v>
      </c>
      <c r="B7" s="111">
        <f>-B30</f>
        <v>-3213291.04</v>
      </c>
      <c r="C7" s="111">
        <f t="shared" ref="C7:J7" si="3">-C30</f>
        <v>-3365345.41</v>
      </c>
      <c r="D7" s="111">
        <f t="shared" si="3"/>
        <v>-3463394.78</v>
      </c>
      <c r="E7" s="111">
        <f t="shared" si="3"/>
        <v>-3626322.22</v>
      </c>
      <c r="F7" s="111">
        <f t="shared" si="3"/>
        <v>-3848016.78</v>
      </c>
      <c r="G7" s="111">
        <f t="shared" si="3"/>
        <v>-4194166</v>
      </c>
      <c r="H7" s="111">
        <f t="shared" si="3"/>
        <v>-4432624</v>
      </c>
      <c r="I7" s="112">
        <f>+J7</f>
        <v>-4614608</v>
      </c>
      <c r="J7" s="112">
        <f t="shared" si="3"/>
        <v>-4614608</v>
      </c>
      <c r="K7" s="111">
        <f t="shared" ref="K7" si="4">-K30</f>
        <v>-4614608</v>
      </c>
      <c r="L7" s="111">
        <f t="shared" si="0"/>
        <v>0</v>
      </c>
      <c r="M7" s="160"/>
      <c r="N7" s="160"/>
      <c r="V7" s="114"/>
      <c r="W7" s="114"/>
      <c r="X7" s="114"/>
      <c r="Y7" s="114"/>
      <c r="Z7" s="114"/>
      <c r="AA7" s="114"/>
      <c r="AB7" s="114"/>
    </row>
    <row r="8" spans="1:33" x14ac:dyDescent="0.2">
      <c r="A8" s="102" t="s">
        <v>79</v>
      </c>
      <c r="B8" s="107">
        <f>+B7+B6+B5</f>
        <v>1271354.52</v>
      </c>
      <c r="C8" s="107">
        <f t="shared" ref="C8:G8" si="5">+C7+C6+C5</f>
        <v>1281367.9950000001</v>
      </c>
      <c r="D8" s="107">
        <f t="shared" si="5"/>
        <v>1390025.6399999983</v>
      </c>
      <c r="E8" s="107">
        <f t="shared" si="5"/>
        <v>1443451.9600000014</v>
      </c>
      <c r="F8" s="107">
        <f t="shared" si="5"/>
        <v>1420357.0799999977</v>
      </c>
      <c r="G8" s="107">
        <f t="shared" si="5"/>
        <v>1586230.444046</v>
      </c>
      <c r="H8" s="107">
        <f>+H7+H6+H5</f>
        <v>1693408.0700000003</v>
      </c>
      <c r="I8" s="108">
        <f>+I7+I6+I5</f>
        <v>1704122.5900000008</v>
      </c>
      <c r="J8" s="108">
        <f>+J7+J6+J5</f>
        <v>1704122.5900000008</v>
      </c>
      <c r="K8" s="107">
        <f>+K7+K6+K5</f>
        <v>1704122.5900000008</v>
      </c>
      <c r="L8" s="107">
        <f t="shared" si="0"/>
        <v>0</v>
      </c>
      <c r="M8" s="115">
        <f t="shared" ref="M8:M13" si="6">+(K8-H8)/H8</f>
        <v>6.3271931850428006E-3</v>
      </c>
      <c r="N8" s="115">
        <f>+AVERAGE(V8,W8,X8,Y8,Z8,AB8)</f>
        <v>4.9651908034446392E-2</v>
      </c>
      <c r="O8" s="114">
        <f>+D8-C8</f>
        <v>108657.64499999816</v>
      </c>
      <c r="P8" s="114">
        <f>+E8-D8</f>
        <v>53426.320000003092</v>
      </c>
      <c r="Q8" s="114">
        <f>+F8-E8</f>
        <v>-23094.880000003614</v>
      </c>
      <c r="R8" s="114">
        <f>+G8-F8</f>
        <v>165873.36404600227</v>
      </c>
      <c r="S8" s="114">
        <f>+H8-G8</f>
        <v>107177.62595400028</v>
      </c>
      <c r="T8" s="114"/>
      <c r="U8" s="114">
        <f t="shared" ref="U8:U13" si="7">+K8-H8</f>
        <v>10714.520000000484</v>
      </c>
      <c r="V8" s="117">
        <f t="shared" ref="V8:Z9" si="8">+O8/C8</f>
        <v>8.4798157456709503E-2</v>
      </c>
      <c r="W8" s="117">
        <f t="shared" si="8"/>
        <v>3.8435492456098265E-2</v>
      </c>
      <c r="X8" s="117">
        <f t="shared" si="8"/>
        <v>-1.5999756583519129E-2</v>
      </c>
      <c r="Y8" s="117">
        <f t="shared" si="8"/>
        <v>0.11678286142383473</v>
      </c>
      <c r="Z8" s="117">
        <f t="shared" si="8"/>
        <v>6.7567500268512173E-2</v>
      </c>
      <c r="AA8" s="117"/>
      <c r="AB8" s="117">
        <f>+U8/H8</f>
        <v>6.3271931850428006E-3</v>
      </c>
    </row>
    <row r="9" spans="1:33" x14ac:dyDescent="0.2">
      <c r="A9" s="102" t="s">
        <v>43</v>
      </c>
      <c r="B9" s="107">
        <f>+VLOOKUP($A9,OPERBUD3!$A:$J,MATCH(B$3,OPERBUD3!$A$1:$L$1,0),FALSE)</f>
        <v>2584532.0099999998</v>
      </c>
      <c r="C9" s="107">
        <f>+VLOOKUP($A9,OPERBUD3!$A:$J,MATCH(C$3,OPERBUD3!$A$1:$L$1,0),FALSE)</f>
        <v>2701572.96</v>
      </c>
      <c r="D9" s="107">
        <f>+VLOOKUP($A9,OPERBUD3!$A:$J,MATCH(D$3,OPERBUD3!$A$1:$L$1,0),FALSE)</f>
        <v>2901921.69</v>
      </c>
      <c r="E9" s="107">
        <f>+VLOOKUP($A9,OPERBUD3!$A:$J,MATCH(E$3,OPERBUD3!$A$1:$L$1,0),FALSE)</f>
        <v>3019288.2</v>
      </c>
      <c r="F9" s="107">
        <f>+VLOOKUP($A9,OPERBUD3!$A:$J,MATCH(F$3,OPERBUD3!$A$1:$L$1,0),FALSE)</f>
        <v>3134812.4</v>
      </c>
      <c r="G9" s="107">
        <f>+VLOOKUP($A9,OPERBUD3!$A:$J,MATCH(G$3,OPERBUD3!$A$1:$L$1,0),FALSE)</f>
        <v>3180766.81</v>
      </c>
      <c r="H9" s="107">
        <f>+VLOOKUP($A9,OPERBUD3!$A:$J,MATCH(H$3,OPERBUD3!$A$1:$L$1,0),FALSE)</f>
        <v>3381463.02</v>
      </c>
      <c r="I9" s="108">
        <f>+VLOOKUP($A9,OPERBUD3!$A:$J,MATCH(I$3,OPERBUD3!$A$1:$L$1,0),FALSE)</f>
        <v>3613666.1999999997</v>
      </c>
      <c r="J9" s="108">
        <f>+VLOOKUP($A9,OPERBUD3!$A:$J,MATCH(J$3,OPERBUD3!$A$1:$L$1,0),FALSE)</f>
        <v>3642145.79</v>
      </c>
      <c r="K9" s="107">
        <f>+VLOOKUP($A9,OPERBUD3!$A:$L,MATCH(K$3,OPERBUD3!$A$1:$L$1,0),FALSE)</f>
        <v>3625871.79</v>
      </c>
      <c r="L9" s="107">
        <f>+K9-J9</f>
        <v>-16274</v>
      </c>
      <c r="M9" s="115">
        <f t="shared" si="6"/>
        <v>7.2279001294534351E-2</v>
      </c>
      <c r="N9" s="115">
        <f t="shared" ref="N9:N13" si="9">+AVERAGE(V9,W9,X9,Y9,Z9,AB9)</f>
        <v>5.0483614508829398E-2</v>
      </c>
      <c r="O9" s="114">
        <f t="shared" ref="O9:O13" si="10">+D9-C9</f>
        <v>200348.72999999998</v>
      </c>
      <c r="P9" s="114">
        <f t="shared" ref="P9:P13" si="11">+E9-D9</f>
        <v>117366.51000000024</v>
      </c>
      <c r="Q9" s="114">
        <f t="shared" ref="Q9:Q13" si="12">+F9-E9</f>
        <v>115524.19999999972</v>
      </c>
      <c r="R9" s="114">
        <f t="shared" ref="R9:R13" si="13">+G9-F9</f>
        <v>45954.410000000149</v>
      </c>
      <c r="S9" s="114">
        <f t="shared" ref="S9:S13" si="14">+H9-G9</f>
        <v>200696.20999999996</v>
      </c>
      <c r="T9" s="114"/>
      <c r="U9" s="114">
        <f t="shared" si="7"/>
        <v>244408.77000000002</v>
      </c>
      <c r="V9" s="117">
        <f t="shared" si="8"/>
        <v>7.4160029348235693E-2</v>
      </c>
      <c r="W9" s="117">
        <f t="shared" si="8"/>
        <v>4.0444409786950609E-2</v>
      </c>
      <c r="X9" s="117">
        <f t="shared" si="8"/>
        <v>3.8262064548856153E-2</v>
      </c>
      <c r="Y9" s="117">
        <f t="shared" si="8"/>
        <v>1.465938121209427E-2</v>
      </c>
      <c r="Z9" s="117">
        <f t="shared" si="8"/>
        <v>6.3096800862305263E-2</v>
      </c>
      <c r="AA9" s="117"/>
      <c r="AB9" s="117">
        <f>+U9/H9</f>
        <v>7.2279001294534351E-2</v>
      </c>
      <c r="AD9" s="114">
        <f>+J9-I9</f>
        <v>28479.590000000317</v>
      </c>
      <c r="AE9" s="114">
        <f>+Uses!C24-7000</f>
        <v>133238.67000000001</v>
      </c>
      <c r="AG9" s="114">
        <f>+J9-I9</f>
        <v>28479.590000000317</v>
      </c>
    </row>
    <row r="10" spans="1:33" x14ac:dyDescent="0.2">
      <c r="A10" s="102" t="s">
        <v>61</v>
      </c>
      <c r="B10" s="107">
        <f>+VLOOKUP($A10,OPERBUD3!$A:$J,MATCH(B$3,OPERBUD3!$A$1:$L$1,0),FALSE)</f>
        <v>1040542.22</v>
      </c>
      <c r="C10" s="107">
        <f>+VLOOKUP($A10,OPERBUD3!$A:$J,MATCH(C$3,OPERBUD3!$A$1:$L$1,0),FALSE)</f>
        <v>893073.72</v>
      </c>
      <c r="D10" s="107">
        <f>+VLOOKUP($A10,OPERBUD3!$A:$J,MATCH(D$3,OPERBUD3!$A$1:$L$1,0),FALSE)</f>
        <v>1069398.24</v>
      </c>
      <c r="E10" s="107">
        <f>+VLOOKUP($A10,OPERBUD3!$A:$J,MATCH(E$3,OPERBUD3!$A$1:$L$1,0),FALSE)</f>
        <v>1034890.67</v>
      </c>
      <c r="F10" s="107">
        <f>+VLOOKUP($A10,OPERBUD3!$A:$J,MATCH(F$3,OPERBUD3!$A$1:$L$1,0),FALSE)</f>
        <v>1178873.99</v>
      </c>
      <c r="G10" s="107">
        <f>+VLOOKUP($A10,OPERBUD3!$A:$J,MATCH(G$3,OPERBUD3!$A$1:$L$1,0),FALSE)</f>
        <v>975704.57</v>
      </c>
      <c r="H10" s="107">
        <f>+VLOOKUP($A10,OPERBUD3!$A:$J,MATCH(H$3,OPERBUD3!$A$1:$L$1,0),FALSE)-H11</f>
        <v>816155.15</v>
      </c>
      <c r="I10" s="108">
        <f>+VLOOKUP($A10,OPERBUD3!$A:$J,MATCH(I$3,OPERBUD3!$A$1:$L$1,0),FALSE)-I11</f>
        <v>818596.96</v>
      </c>
      <c r="J10" s="108">
        <f>+VLOOKUP($A10,OPERBUD3!$A:$J,MATCH(J$3,OPERBUD3!$A$1:$L$1,0),FALSE)-J11</f>
        <v>818596.96</v>
      </c>
      <c r="K10" s="107">
        <f>+VLOOKUP($A10,OPERBUD3!$A:$L,MATCH(K$3,OPERBUD3!$A$1:$L$1,0),FALSE)-K11</f>
        <v>818596.96</v>
      </c>
      <c r="L10" s="107">
        <f t="shared" si="0"/>
        <v>0</v>
      </c>
      <c r="M10" s="115">
        <f t="shared" si="6"/>
        <v>2.9918453617549792E-3</v>
      </c>
      <c r="N10" s="115">
        <f t="shared" si="9"/>
        <v>3.2480695505650123E-2</v>
      </c>
      <c r="O10" s="114">
        <f t="shared" si="10"/>
        <v>176324.52000000002</v>
      </c>
      <c r="P10" s="114">
        <f t="shared" si="11"/>
        <v>-34507.569999999949</v>
      </c>
      <c r="Q10" s="114">
        <f t="shared" si="12"/>
        <v>143983.31999999995</v>
      </c>
      <c r="R10" s="114">
        <f t="shared" si="13"/>
        <v>-203169.42000000004</v>
      </c>
      <c r="S10" s="114">
        <f t="shared" si="14"/>
        <v>-159549.41999999993</v>
      </c>
      <c r="T10" s="114"/>
      <c r="U10" s="114">
        <f t="shared" si="7"/>
        <v>2441.8099999999395</v>
      </c>
      <c r="V10" s="117">
        <f>+(O10+O11)/(C10+C11)</f>
        <v>0.19743557116427077</v>
      </c>
      <c r="W10" s="117">
        <f>+(P10+P11)/(D10+D11)</f>
        <v>-3.2268212822194234E-2</v>
      </c>
      <c r="X10" s="117">
        <f>+(Q10+Q11)/(E10+E11)</f>
        <v>0.13912901543503137</v>
      </c>
      <c r="Y10" s="117">
        <f>+(R10+R11)/(F10+F11)</f>
        <v>-0.17234193113379323</v>
      </c>
      <c r="Z10" s="117">
        <f>+(S10+S11)/(G10+G11)</f>
        <v>3.7876014047982525E-3</v>
      </c>
      <c r="AA10" s="117"/>
      <c r="AB10" s="117">
        <f>+(U10+U11)/(H10+H11)</f>
        <v>5.9142128985787822E-2</v>
      </c>
      <c r="AE10" s="114">
        <f>+AE9-AD9</f>
        <v>104759.0799999997</v>
      </c>
    </row>
    <row r="11" spans="1:33" x14ac:dyDescent="0.2">
      <c r="A11" s="102" t="s">
        <v>86</v>
      </c>
      <c r="B11" s="107">
        <v>0</v>
      </c>
      <c r="C11" s="107">
        <v>0</v>
      </c>
      <c r="D11" s="107">
        <v>0</v>
      </c>
      <c r="E11" s="107">
        <v>0</v>
      </c>
      <c r="F11" s="107">
        <v>0</v>
      </c>
      <c r="G11" s="107">
        <v>0</v>
      </c>
      <c r="H11" s="107">
        <v>163245</v>
      </c>
      <c r="I11" s="108">
        <f>225000-Uses!C21</f>
        <v>163245.32999999999</v>
      </c>
      <c r="J11" s="108">
        <f>OPERBUD3!J120</f>
        <v>225000</v>
      </c>
      <c r="K11" s="107">
        <f>+OPERBUD3!L120</f>
        <v>218727</v>
      </c>
      <c r="L11" s="107">
        <f t="shared" si="0"/>
        <v>-6273</v>
      </c>
      <c r="M11" s="115">
        <f t="shared" si="6"/>
        <v>0.33986952127170816</v>
      </c>
      <c r="N11" s="115"/>
      <c r="O11" s="114">
        <f t="shared" si="10"/>
        <v>0</v>
      </c>
      <c r="P11" s="114">
        <f t="shared" si="11"/>
        <v>0</v>
      </c>
      <c r="Q11" s="114">
        <f t="shared" si="12"/>
        <v>0</v>
      </c>
      <c r="R11" s="114">
        <f t="shared" si="13"/>
        <v>0</v>
      </c>
      <c r="S11" s="114">
        <f t="shared" si="14"/>
        <v>163245</v>
      </c>
      <c r="T11" s="114"/>
      <c r="U11" s="114">
        <f t="shared" si="7"/>
        <v>55482</v>
      </c>
      <c r="V11" s="117"/>
      <c r="W11" s="117"/>
      <c r="X11" s="117"/>
      <c r="Y11" s="117"/>
      <c r="Z11" s="117"/>
      <c r="AA11" s="117"/>
      <c r="AB11" s="117"/>
    </row>
    <row r="12" spans="1:33" s="118" customFormat="1" ht="13.5" x14ac:dyDescent="0.25">
      <c r="A12" s="102" t="s">
        <v>68</v>
      </c>
      <c r="B12" s="113">
        <f>+VLOOKUP($A12,OPERBUD3!$A:$J,MATCH(B$3,OPERBUD3!$A$1:$L$1,0),FALSE)</f>
        <v>172752.06</v>
      </c>
      <c r="C12" s="113">
        <f>+VLOOKUP($A12,OPERBUD3!$A:$J,MATCH(C$3,OPERBUD3!$A$1:$L$1,0),FALSE)</f>
        <v>183798.24</v>
      </c>
      <c r="D12" s="113">
        <f>+VLOOKUP($A12,OPERBUD3!$A:$J,MATCH(D$3,OPERBUD3!$A$1:$L$1,0),FALSE)</f>
        <v>213114.2</v>
      </c>
      <c r="E12" s="113">
        <f>+VLOOKUP($A12,OPERBUD3!$A:$J,MATCH(E$3,OPERBUD3!$A$1:$L$1,0),FALSE)</f>
        <v>242715.95</v>
      </c>
      <c r="F12" s="113">
        <f>+VLOOKUP($A12,OPERBUD3!$A:$J,MATCH(F$3,OPERBUD3!$A$1:$L$1,0),FALSE)</f>
        <v>246419.22999999998</v>
      </c>
      <c r="G12" s="113">
        <f>+VLOOKUP($A12,OPERBUD3!$A:$J,MATCH(G$3,OPERBUD3!$A$1:$L$1,0),FALSE)</f>
        <v>272956.78000000003</v>
      </c>
      <c r="H12" s="113">
        <f>+VLOOKUP($A12,OPERBUD3!$A:$J,MATCH(H$3,OPERBUD3!$A$1:$L$1,0),FALSE)</f>
        <v>278455.8</v>
      </c>
      <c r="I12" s="108">
        <f>+VLOOKUP($A12,OPERBUD3!$A:$J,MATCH(I$3,OPERBUD3!$A$1:$L$1,0),FALSE)</f>
        <v>292508.28000000003</v>
      </c>
      <c r="J12" s="108">
        <f>+VLOOKUP($A12,OPERBUD3!$A:$J,MATCH(J$3,OPERBUD3!$A$1:$L$1,0),FALSE)</f>
        <v>292508.28000000003</v>
      </c>
      <c r="K12" s="113">
        <f>+VLOOKUP($A12,OPERBUD3!$A:$L,MATCH(K$3,OPERBUD3!$A$1:$L$1,0),FALSE)</f>
        <v>292508.28000000003</v>
      </c>
      <c r="L12" s="113">
        <f t="shared" si="0"/>
        <v>0</v>
      </c>
      <c r="M12" s="161">
        <f t="shared" si="6"/>
        <v>5.0465747167055021E-2</v>
      </c>
      <c r="N12" s="161">
        <f t="shared" si="9"/>
        <v>8.1993979094654626E-2</v>
      </c>
      <c r="O12" s="114">
        <f t="shared" si="10"/>
        <v>29315.960000000021</v>
      </c>
      <c r="P12" s="114">
        <f t="shared" si="11"/>
        <v>29601.75</v>
      </c>
      <c r="Q12" s="114">
        <f t="shared" si="12"/>
        <v>3703.2799999999697</v>
      </c>
      <c r="R12" s="114">
        <f t="shared" si="13"/>
        <v>26537.550000000047</v>
      </c>
      <c r="S12" s="114">
        <f t="shared" si="14"/>
        <v>5499.0199999999604</v>
      </c>
      <c r="T12" s="114"/>
      <c r="U12" s="114">
        <f t="shared" si="7"/>
        <v>14052.48000000004</v>
      </c>
      <c r="V12" s="117">
        <f>+O12/C12</f>
        <v>0.15950076562213011</v>
      </c>
      <c r="W12" s="117">
        <f t="shared" ref="W12:W13" si="15">+P12/D12</f>
        <v>0.1389008803730582</v>
      </c>
      <c r="X12" s="117">
        <f t="shared" ref="X12:X13" si="16">+Q12/E12</f>
        <v>1.5257670540399053E-2</v>
      </c>
      <c r="Y12" s="117">
        <f t="shared" ref="Y12:Y13" si="17">+R12/F12</f>
        <v>0.10769269102902419</v>
      </c>
      <c r="Z12" s="117">
        <f t="shared" ref="Z12:Z13" si="18">+S12/G12</f>
        <v>2.0146119836261109E-2</v>
      </c>
      <c r="AA12" s="117"/>
      <c r="AB12" s="117">
        <f>+U12/H12</f>
        <v>5.0465747167055021E-2</v>
      </c>
    </row>
    <row r="13" spans="1:33" x14ac:dyDescent="0.2">
      <c r="A13" s="102" t="s">
        <v>63</v>
      </c>
      <c r="B13" s="119">
        <f>+VLOOKUP($A13,OPERBUD3!$A:$J,MATCH(B$3,OPERBUD3!$A$1:$L$1,0),FALSE)</f>
        <v>327588.71000000002</v>
      </c>
      <c r="C13" s="119">
        <f>+VLOOKUP($A13,OPERBUD3!$A:$J,MATCH(C$3,OPERBUD3!$A$1:$L$1,0),FALSE)</f>
        <v>340641.50999999995</v>
      </c>
      <c r="D13" s="119">
        <f>+VLOOKUP($A13,OPERBUD3!$A:$J,MATCH(D$3,OPERBUD3!$A$1:$L$1,0),FALSE)</f>
        <v>354910.14</v>
      </c>
      <c r="E13" s="119">
        <f>+VLOOKUP($A13,OPERBUD3!$A:$J,MATCH(E$3,OPERBUD3!$A$1:$L$1,0),FALSE)</f>
        <v>372811.85</v>
      </c>
      <c r="F13" s="119">
        <f>+VLOOKUP($A13,OPERBUD3!$A:$J,MATCH(F$3,OPERBUD3!$A$1:$L$1,0),FALSE)</f>
        <v>389832.76999999996</v>
      </c>
      <c r="G13" s="119">
        <f>+VLOOKUP($A13,OPERBUD3!$A:$J,MATCH(G$3,OPERBUD3!$A$1:$L$1,0),FALSE)</f>
        <v>430866</v>
      </c>
      <c r="H13" s="119">
        <f>+VLOOKUP($A13,OPERBUD3!$A:$J,MATCH(H$3,OPERBUD3!$A$1:$L$1,0),FALSE)</f>
        <v>423397.62</v>
      </c>
      <c r="I13" s="120">
        <f>+VLOOKUP($A13,OPERBUD3!$A:$J,MATCH(I$3,OPERBUD3!$A$1:$L$1,0),FALSE)</f>
        <v>435909.67</v>
      </c>
      <c r="J13" s="120">
        <f>+VLOOKUP($A13,OPERBUD3!$A:$J,MATCH(J$3,OPERBUD3!$A$1:$L$1,0),FALSE)</f>
        <v>435909.67</v>
      </c>
      <c r="K13" s="119">
        <f>+VLOOKUP($A13,OPERBUD3!$A:$L,MATCH(K$3,OPERBUD3!$A$1:$L$1,0),FALSE)</f>
        <v>435909.67</v>
      </c>
      <c r="L13" s="119">
        <f t="shared" si="0"/>
        <v>0</v>
      </c>
      <c r="M13" s="162">
        <f t="shared" si="6"/>
        <v>2.9551535976985389E-2</v>
      </c>
      <c r="N13" s="162">
        <f t="shared" si="9"/>
        <v>4.2576638705889618E-2</v>
      </c>
      <c r="O13" s="114">
        <f t="shared" si="10"/>
        <v>14268.630000000063</v>
      </c>
      <c r="P13" s="114">
        <f t="shared" si="11"/>
        <v>17901.709999999963</v>
      </c>
      <c r="Q13" s="114">
        <f t="shared" si="12"/>
        <v>17020.919999999984</v>
      </c>
      <c r="R13" s="114">
        <f t="shared" si="13"/>
        <v>41033.23000000004</v>
      </c>
      <c r="S13" s="114">
        <f t="shared" si="14"/>
        <v>-7468.3800000000047</v>
      </c>
      <c r="T13" s="114"/>
      <c r="U13" s="114">
        <f t="shared" si="7"/>
        <v>12512.049999999988</v>
      </c>
      <c r="V13" s="117">
        <f>+O13/C13</f>
        <v>4.1887525686461598E-2</v>
      </c>
      <c r="W13" s="117">
        <f t="shared" si="15"/>
        <v>5.0440119856817733E-2</v>
      </c>
      <c r="X13" s="117">
        <f t="shared" si="16"/>
        <v>4.5655523020526265E-2</v>
      </c>
      <c r="Y13" s="117">
        <f t="shared" si="17"/>
        <v>0.1052585445805391</v>
      </c>
      <c r="Z13" s="117">
        <f t="shared" si="18"/>
        <v>-1.7333416885992409E-2</v>
      </c>
      <c r="AA13" s="117"/>
      <c r="AB13" s="117">
        <f>+U13/H13</f>
        <v>2.9551535976985389E-2</v>
      </c>
    </row>
    <row r="14" spans="1:33" ht="13.5" thickBot="1" x14ac:dyDescent="0.25">
      <c r="A14" s="121" t="s">
        <v>84</v>
      </c>
      <c r="B14" s="122">
        <v>0</v>
      </c>
      <c r="C14" s="122">
        <v>0</v>
      </c>
      <c r="D14" s="122">
        <v>0</v>
      </c>
      <c r="E14" s="122">
        <v>0</v>
      </c>
      <c r="F14" s="122">
        <v>0</v>
      </c>
      <c r="G14" s="122">
        <v>0</v>
      </c>
      <c r="H14" s="122">
        <v>0</v>
      </c>
      <c r="I14" s="123">
        <v>0</v>
      </c>
      <c r="J14" s="123">
        <v>0</v>
      </c>
      <c r="K14" s="122">
        <v>0</v>
      </c>
      <c r="L14" s="122">
        <f t="shared" si="0"/>
        <v>0</v>
      </c>
      <c r="M14" s="163"/>
      <c r="N14" s="163"/>
    </row>
    <row r="15" spans="1:33" s="128" customFormat="1" ht="14.25" thickTop="1" thickBot="1" x14ac:dyDescent="0.25">
      <c r="A15" s="124" t="s">
        <v>152</v>
      </c>
      <c r="B15" s="125">
        <f t="shared" ref="B15:L15" si="19">+B8+B9+B10+B13+B14+B12+B11</f>
        <v>5396769.5199999996</v>
      </c>
      <c r="C15" s="125">
        <f t="shared" si="19"/>
        <v>5400454.4249999998</v>
      </c>
      <c r="D15" s="125">
        <f t="shared" si="19"/>
        <v>5929369.9099999983</v>
      </c>
      <c r="E15" s="125">
        <f t="shared" si="19"/>
        <v>6113158.6300000018</v>
      </c>
      <c r="F15" s="125">
        <f t="shared" si="19"/>
        <v>6370295.4699999969</v>
      </c>
      <c r="G15" s="125">
        <f t="shared" si="19"/>
        <v>6446524.6040460011</v>
      </c>
      <c r="H15" s="125">
        <f t="shared" si="19"/>
        <v>6756124.6600000001</v>
      </c>
      <c r="I15" s="126">
        <f t="shared" si="19"/>
        <v>7028049.0300000012</v>
      </c>
      <c r="J15" s="126">
        <f t="shared" si="19"/>
        <v>7118283.290000001</v>
      </c>
      <c r="K15" s="125">
        <f t="shared" si="19"/>
        <v>7095736.290000001</v>
      </c>
      <c r="L15" s="125">
        <f t="shared" si="19"/>
        <v>-22547</v>
      </c>
      <c r="M15" s="164">
        <f>+(K15-H15)/H15</f>
        <v>5.0267223754867897E-2</v>
      </c>
      <c r="N15" s="164"/>
      <c r="O15" s="127"/>
    </row>
    <row r="16" spans="1:33" ht="13.5" thickTop="1" x14ac:dyDescent="0.2">
      <c r="A16" s="129" t="s">
        <v>85</v>
      </c>
      <c r="B16" s="116"/>
      <c r="C16" s="130">
        <f t="shared" ref="C16:I16" si="20">+C15-B15</f>
        <v>3684.9050000002608</v>
      </c>
      <c r="D16" s="130">
        <f t="shared" si="20"/>
        <v>528915.48499999847</v>
      </c>
      <c r="E16" s="130">
        <f t="shared" si="20"/>
        <v>183788.72000000346</v>
      </c>
      <c r="F16" s="130">
        <f t="shared" si="20"/>
        <v>257136.83999999519</v>
      </c>
      <c r="G16" s="130">
        <f t="shared" si="20"/>
        <v>76229.134046004154</v>
      </c>
      <c r="H16" s="130">
        <f t="shared" si="20"/>
        <v>309600.05595399905</v>
      </c>
      <c r="I16" s="131">
        <f t="shared" si="20"/>
        <v>271924.37000000104</v>
      </c>
      <c r="J16" s="131">
        <f>+J15-H15</f>
        <v>362158.63000000082</v>
      </c>
      <c r="K16" s="130">
        <f>+K15-H15</f>
        <v>339611.63000000082</v>
      </c>
      <c r="L16" s="130">
        <f>+K16-J16</f>
        <v>-22547</v>
      </c>
      <c r="M16" s="116"/>
      <c r="N16" s="100">
        <f>+AVERAGE(K16,H16,G16,F16,E16,D16)</f>
        <v>282546.97750000021</v>
      </c>
    </row>
    <row r="17" spans="1:15" x14ac:dyDescent="0.2">
      <c r="A17" s="129" t="s">
        <v>142</v>
      </c>
      <c r="B17" s="107"/>
      <c r="C17" s="115">
        <f t="shared" ref="C17:I17" si="21">+C15/B15-1</f>
        <v>6.8279829004080916E-4</v>
      </c>
      <c r="D17" s="115">
        <f t="shared" si="21"/>
        <v>9.793907019222714E-2</v>
      </c>
      <c r="E17" s="115">
        <f t="shared" si="21"/>
        <v>3.0996332289884743E-2</v>
      </c>
      <c r="F17" s="115">
        <f t="shared" si="21"/>
        <v>4.2062844359724183E-2</v>
      </c>
      <c r="G17" s="115">
        <f t="shared" si="21"/>
        <v>1.1966341970320649E-2</v>
      </c>
      <c r="H17" s="115">
        <f t="shared" si="21"/>
        <v>4.8025886034730458E-2</v>
      </c>
      <c r="I17" s="132">
        <f t="shared" si="21"/>
        <v>4.0248572026792884E-2</v>
      </c>
      <c r="J17" s="132">
        <f>+J15/H15-1</f>
        <v>5.3604491957376155E-2</v>
      </c>
      <c r="K17" s="115">
        <f>+K15/H15-1</f>
        <v>5.0267223754867807E-2</v>
      </c>
      <c r="L17" s="115"/>
      <c r="M17" s="115"/>
      <c r="N17" s="115">
        <f>+AVERAGE(K17,H17,G17,F17,E17,D17)</f>
        <v>4.6876283100292494E-2</v>
      </c>
    </row>
    <row r="18" spans="1:15" ht="6" customHeight="1" x14ac:dyDescent="0.2">
      <c r="A18" s="102"/>
      <c r="I18" s="133"/>
      <c r="J18" s="133"/>
      <c r="M18" s="116"/>
      <c r="N18" s="116"/>
    </row>
    <row r="19" spans="1:15" ht="13.5" thickBot="1" x14ac:dyDescent="0.25">
      <c r="A19" s="134" t="s">
        <v>45</v>
      </c>
      <c r="B19" s="122">
        <f>+VLOOKUP($A19,OPERBUD3!$A:$J,MATCH(B$3,OPERBUD3!$A$1:$L$1,0),FALSE)</f>
        <v>11176538</v>
      </c>
      <c r="C19" s="122">
        <f>+OPERBUD3!C105</f>
        <v>11733762.260000002</v>
      </c>
      <c r="D19" s="122">
        <f>+VLOOKUP($A19,OPERBUD3!$A:$J,MATCH(D$3,OPERBUD3!$A$1:$L$1,0),FALSE)</f>
        <v>12269844.85</v>
      </c>
      <c r="E19" s="122">
        <f>+VLOOKUP($A19,OPERBUD3!$A:$J,MATCH(E$3,OPERBUD3!$A$1:$L$1,0),FALSE)</f>
        <v>12904982.470000001</v>
      </c>
      <c r="F19" s="122">
        <f>+VLOOKUP($A19,OPERBUD3!$A:$J,MATCH(F$3,OPERBUD3!$A$1:$L$1,0),FALSE)</f>
        <v>13108486.32</v>
      </c>
      <c r="G19" s="122">
        <f>+VLOOKUP($A19,OPERBUD3!$A:$J,MATCH(G$3,OPERBUD3!$A$1:$L$1,0),FALSE)</f>
        <v>13820995.359999999</v>
      </c>
      <c r="H19" s="122">
        <f>+VLOOKUP($A19,OPERBUD3!$A:$J,MATCH(H$3,OPERBUD3!$A$1:$L$1,0),FALSE)</f>
        <v>14357995</v>
      </c>
      <c r="I19" s="123">
        <f>+VLOOKUP($A19,OPERBUD3!$A:$J,MATCH(I$3,OPERBUD3!$A$1:$L$1,0),FALSE)</f>
        <v>14964923</v>
      </c>
      <c r="J19" s="123">
        <f>+VLOOKUP($A19,OPERBUD3!$A:$J,MATCH(J$3,OPERBUD3!$A$1:$L$1,0),FALSE)</f>
        <v>14964923</v>
      </c>
      <c r="K19" s="122">
        <f>+Uses!G17</f>
        <v>14800272.966</v>
      </c>
      <c r="L19" s="122">
        <f>+K19-J19</f>
        <v>-164650.03399999999</v>
      </c>
      <c r="M19" s="163">
        <f>+(K19-H19)/H19</f>
        <v>3.0803602174259013E-2</v>
      </c>
      <c r="N19" s="163"/>
    </row>
    <row r="20" spans="1:15" s="128" customFormat="1" ht="14.25" thickTop="1" thickBot="1" x14ac:dyDescent="0.25">
      <c r="A20" s="124" t="s">
        <v>141</v>
      </c>
      <c r="B20" s="125">
        <f t="shared" ref="B20:K20" si="22">+B19</f>
        <v>11176538</v>
      </c>
      <c r="C20" s="125">
        <f t="shared" si="22"/>
        <v>11733762.260000002</v>
      </c>
      <c r="D20" s="125">
        <f t="shared" si="22"/>
        <v>12269844.85</v>
      </c>
      <c r="E20" s="125">
        <f t="shared" si="22"/>
        <v>12904982.470000001</v>
      </c>
      <c r="F20" s="125">
        <f t="shared" si="22"/>
        <v>13108486.32</v>
      </c>
      <c r="G20" s="125">
        <f t="shared" si="22"/>
        <v>13820995.359999999</v>
      </c>
      <c r="H20" s="125">
        <f t="shared" si="22"/>
        <v>14357995</v>
      </c>
      <c r="I20" s="126">
        <f t="shared" si="22"/>
        <v>14964923</v>
      </c>
      <c r="J20" s="126">
        <f t="shared" si="22"/>
        <v>14964923</v>
      </c>
      <c r="K20" s="125">
        <f t="shared" si="22"/>
        <v>14800272.966</v>
      </c>
      <c r="L20" s="125">
        <f>+K20-J20</f>
        <v>-164650.03399999999</v>
      </c>
      <c r="M20" s="164"/>
      <c r="N20" s="164"/>
      <c r="O20" s="127"/>
    </row>
    <row r="21" spans="1:15" ht="13.5" thickTop="1" x14ac:dyDescent="0.2">
      <c r="A21" s="129" t="s">
        <v>85</v>
      </c>
      <c r="B21" s="115"/>
      <c r="C21" s="130">
        <f t="shared" ref="C21:I21" si="23">+C19-B19</f>
        <v>557224.26000000164</v>
      </c>
      <c r="D21" s="130">
        <f t="shared" si="23"/>
        <v>536082.58999999799</v>
      </c>
      <c r="E21" s="130">
        <f t="shared" si="23"/>
        <v>635137.62000000104</v>
      </c>
      <c r="F21" s="130">
        <f t="shared" si="23"/>
        <v>203503.84999999963</v>
      </c>
      <c r="G21" s="130">
        <f t="shared" si="23"/>
        <v>712509.03999999911</v>
      </c>
      <c r="H21" s="130">
        <f t="shared" si="23"/>
        <v>536999.6400000006</v>
      </c>
      <c r="I21" s="131">
        <f t="shared" si="23"/>
        <v>606928</v>
      </c>
      <c r="J21" s="131">
        <f>+J19-H19</f>
        <v>606928</v>
      </c>
      <c r="K21" s="130">
        <f>+K20-H20</f>
        <v>442277.96600000001</v>
      </c>
      <c r="L21" s="130">
        <f>+K21-J21</f>
        <v>-164650.03399999999</v>
      </c>
      <c r="M21" s="116"/>
      <c r="N21" s="100">
        <f>+AVERAGE(K21,H21,G21,F21,E21,D21)</f>
        <v>511085.1176666664</v>
      </c>
    </row>
    <row r="22" spans="1:15" x14ac:dyDescent="0.2">
      <c r="A22" s="129" t="s">
        <v>142</v>
      </c>
      <c r="C22" s="115">
        <f t="shared" ref="C22:I22" si="24">+C19/B19-1</f>
        <v>4.9856606759624666E-2</v>
      </c>
      <c r="D22" s="115">
        <f t="shared" si="24"/>
        <v>4.5687186950044589E-2</v>
      </c>
      <c r="E22" s="115">
        <f t="shared" si="24"/>
        <v>5.1764111752399256E-2</v>
      </c>
      <c r="F22" s="115">
        <f t="shared" si="24"/>
        <v>1.5769401506207537E-2</v>
      </c>
      <c r="G22" s="115">
        <f t="shared" si="24"/>
        <v>5.4354791438650185E-2</v>
      </c>
      <c r="H22" s="115">
        <f t="shared" si="24"/>
        <v>3.8853904947697027E-2</v>
      </c>
      <c r="I22" s="132">
        <f t="shared" si="24"/>
        <v>4.2271083114320707E-2</v>
      </c>
      <c r="J22" s="132">
        <f>+J19/H19-1</f>
        <v>4.2271083114320707E-2</v>
      </c>
      <c r="K22" s="115">
        <f>+K20/H20-1</f>
        <v>3.0803602174259037E-2</v>
      </c>
      <c r="L22" s="115"/>
      <c r="M22" s="115"/>
      <c r="N22" s="115">
        <f>+AVERAGE(K22,H22,G22,F22,E22,D22)</f>
        <v>3.9538833128209605E-2</v>
      </c>
    </row>
    <row r="23" spans="1:15" ht="5.25" customHeight="1" thickBot="1" x14ac:dyDescent="0.25">
      <c r="A23" s="129"/>
      <c r="C23" s="135"/>
      <c r="D23" s="135"/>
      <c r="E23" s="135"/>
      <c r="F23" s="135"/>
      <c r="G23" s="135"/>
      <c r="H23" s="135"/>
      <c r="I23" s="136"/>
      <c r="J23" s="136"/>
      <c r="K23" s="135"/>
      <c r="L23" s="135"/>
      <c r="M23" s="115"/>
      <c r="N23" s="115"/>
    </row>
    <row r="24" spans="1:15" s="128" customFormat="1" ht="14.25" thickTop="1" thickBot="1" x14ac:dyDescent="0.25">
      <c r="A24" s="137" t="s">
        <v>82</v>
      </c>
      <c r="B24" s="138">
        <f t="shared" ref="B24:K24" si="25">+B19+B15</f>
        <v>16573307.52</v>
      </c>
      <c r="C24" s="138">
        <f t="shared" si="25"/>
        <v>17134216.685000002</v>
      </c>
      <c r="D24" s="138">
        <f t="shared" si="25"/>
        <v>18199214.759999998</v>
      </c>
      <c r="E24" s="138">
        <f t="shared" si="25"/>
        <v>19018141.100000001</v>
      </c>
      <c r="F24" s="138">
        <f t="shared" si="25"/>
        <v>19478781.789999999</v>
      </c>
      <c r="G24" s="138">
        <f t="shared" si="25"/>
        <v>20267519.964046001</v>
      </c>
      <c r="H24" s="138">
        <f t="shared" si="25"/>
        <v>21114119.66</v>
      </c>
      <c r="I24" s="139">
        <f t="shared" si="25"/>
        <v>21992972.030000001</v>
      </c>
      <c r="J24" s="139">
        <f t="shared" si="25"/>
        <v>22083206.289999999</v>
      </c>
      <c r="K24" s="138">
        <f t="shared" si="25"/>
        <v>21896009.256000001</v>
      </c>
      <c r="L24" s="138">
        <f>+K24-J24</f>
        <v>-187197.03399999812</v>
      </c>
      <c r="M24" s="165"/>
      <c r="N24" s="165"/>
    </row>
    <row r="25" spans="1:15" ht="13.5" thickTop="1" x14ac:dyDescent="0.2">
      <c r="A25" s="129" t="s">
        <v>85</v>
      </c>
      <c r="B25" s="116"/>
      <c r="C25" s="130">
        <f t="shared" ref="C25" si="26">+C24-B24</f>
        <v>560909.16500000283</v>
      </c>
      <c r="D25" s="130">
        <f t="shared" ref="D25" si="27">+D24-C24</f>
        <v>1064998.0749999955</v>
      </c>
      <c r="E25" s="130">
        <f t="shared" ref="E25" si="28">+E24-D24</f>
        <v>818926.34000000358</v>
      </c>
      <c r="F25" s="130">
        <f t="shared" ref="F25" si="29">+F24-E24</f>
        <v>460640.68999999762</v>
      </c>
      <c r="G25" s="130">
        <f t="shared" ref="G25" si="30">+G24-F24</f>
        <v>788738.17404600233</v>
      </c>
      <c r="H25" s="130">
        <f t="shared" ref="H25:I25" si="31">+H24-G24</f>
        <v>846599.69595399871</v>
      </c>
      <c r="I25" s="131">
        <f t="shared" si="31"/>
        <v>878852.37000000104</v>
      </c>
      <c r="J25" s="131">
        <f t="shared" ref="J25" si="32">+J24-H24</f>
        <v>969086.62999999896</v>
      </c>
      <c r="K25" s="130">
        <f>+K24-H24</f>
        <v>781889.59600000083</v>
      </c>
      <c r="L25" s="130">
        <f>+K25-J25</f>
        <v>-187197.03399999812</v>
      </c>
      <c r="M25" s="116"/>
      <c r="N25" s="100">
        <f>+AVERAGE(K25,H25,G25,F25,E25,D25)</f>
        <v>793632.09516666643</v>
      </c>
    </row>
    <row r="26" spans="1:15" x14ac:dyDescent="0.2">
      <c r="A26" s="129" t="s">
        <v>142</v>
      </c>
      <c r="B26" s="107"/>
      <c r="C26" s="115">
        <f t="shared" ref="C26:I26" si="33">+C24/B24-1</f>
        <v>3.3844129442666793E-2</v>
      </c>
      <c r="D26" s="115">
        <f t="shared" si="33"/>
        <v>6.2156216101337147E-2</v>
      </c>
      <c r="E26" s="115">
        <f t="shared" si="33"/>
        <v>4.4997894183870013E-2</v>
      </c>
      <c r="F26" s="115">
        <f t="shared" si="33"/>
        <v>2.4221120643594274E-2</v>
      </c>
      <c r="G26" s="115">
        <f t="shared" si="33"/>
        <v>4.049217156131002E-2</v>
      </c>
      <c r="H26" s="115">
        <f t="shared" si="33"/>
        <v>4.1771252598040709E-2</v>
      </c>
      <c r="I26" s="132">
        <f t="shared" si="33"/>
        <v>4.1623917272049837E-2</v>
      </c>
      <c r="J26" s="132">
        <f>+J24/H24-1</f>
        <v>4.5897562654999113E-2</v>
      </c>
      <c r="K26" s="115">
        <f>+K24/H24-1</f>
        <v>3.7031598219141593E-2</v>
      </c>
      <c r="L26" s="115"/>
      <c r="M26" s="115"/>
      <c r="N26" s="115">
        <f>+AVERAGE(K26,H26,G26,F26,E26,D26)</f>
        <v>4.1778375551215628E-2</v>
      </c>
    </row>
    <row r="27" spans="1:15" ht="6.75" customHeight="1" x14ac:dyDescent="0.2">
      <c r="A27" s="102"/>
      <c r="I27" s="133"/>
      <c r="J27" s="133"/>
      <c r="M27" s="116"/>
      <c r="N27" s="116"/>
    </row>
    <row r="28" spans="1:15" x14ac:dyDescent="0.2">
      <c r="A28" s="102" t="s">
        <v>88</v>
      </c>
      <c r="I28" s="133"/>
      <c r="J28" s="133"/>
      <c r="M28" s="116"/>
      <c r="N28" s="116"/>
    </row>
    <row r="29" spans="1:15" x14ac:dyDescent="0.2">
      <c r="A29" s="140" t="s">
        <v>80</v>
      </c>
      <c r="B29" s="141">
        <v>192476.15</v>
      </c>
      <c r="C29" s="141">
        <v>250693.95</v>
      </c>
      <c r="D29" s="142">
        <f>+OPERBUD3!D60</f>
        <v>253280.54</v>
      </c>
      <c r="E29" s="142">
        <f>+OPERBUD3!E60</f>
        <v>273340.87</v>
      </c>
      <c r="F29" s="142">
        <f>+OPERBUD3!F60</f>
        <v>320038</v>
      </c>
      <c r="G29" s="142">
        <f>+OPERBUD3!G60</f>
        <v>381583</v>
      </c>
      <c r="H29" s="142">
        <f>+OPERBUD3!H60</f>
        <v>397158</v>
      </c>
      <c r="I29" s="133">
        <f>+J29</f>
        <v>408803</v>
      </c>
      <c r="J29" s="133">
        <f>+OPERBUD3!J60</f>
        <v>408803</v>
      </c>
      <c r="K29" s="142">
        <f>+J29</f>
        <v>408803</v>
      </c>
      <c r="L29" s="142">
        <f t="shared" ref="L29:L32" si="34">+K29-J29</f>
        <v>0</v>
      </c>
      <c r="M29" s="166">
        <f t="shared" ref="M29:M32" si="35">+(K29-H29)/H29</f>
        <v>2.9320824457772475E-2</v>
      </c>
      <c r="N29" s="166"/>
    </row>
    <row r="30" spans="1:15" x14ac:dyDescent="0.2">
      <c r="A30" s="140" t="s">
        <v>81</v>
      </c>
      <c r="B30" s="141">
        <v>3213291.04</v>
      </c>
      <c r="C30" s="141">
        <v>3365345.41</v>
      </c>
      <c r="D30" s="142">
        <f>+OPERBUD3!D67</f>
        <v>3463394.78</v>
      </c>
      <c r="E30" s="142">
        <f>+OPERBUD3!E67</f>
        <v>3626322.22</v>
      </c>
      <c r="F30" s="142">
        <f>+OPERBUD3!F67</f>
        <v>3848016.78</v>
      </c>
      <c r="G30" s="142">
        <f>+OPERBUD3!G67</f>
        <v>4194166</v>
      </c>
      <c r="H30" s="142">
        <f>+OPERBUD3!H67</f>
        <v>4432624</v>
      </c>
      <c r="I30" s="133">
        <f>+J30</f>
        <v>4614608</v>
      </c>
      <c r="J30" s="133">
        <f>+OPERBUD3!J67</f>
        <v>4614608</v>
      </c>
      <c r="K30" s="142">
        <f>+J30</f>
        <v>4614608</v>
      </c>
      <c r="L30" s="142">
        <f t="shared" si="34"/>
        <v>0</v>
      </c>
      <c r="M30" s="166">
        <f t="shared" si="35"/>
        <v>4.1055591451023138E-2</v>
      </c>
      <c r="N30" s="166"/>
    </row>
    <row r="31" spans="1:15" x14ac:dyDescent="0.2">
      <c r="A31" s="140" t="s">
        <v>46</v>
      </c>
      <c r="B31" s="107">
        <f>+VLOOKUP($A31,OPERBUD3!$A:$J,MATCH(B$3,OPERBUD3!$A$1:$L$1,0),FALSE)</f>
        <v>496699</v>
      </c>
      <c r="C31" s="107">
        <f>+VLOOKUP($A31,OPERBUD3!$A:$J,MATCH(C$3,OPERBUD3!$A$1:$L$1,0),FALSE)</f>
        <v>424062</v>
      </c>
      <c r="D31" s="107">
        <f>+VLOOKUP($A31,OPERBUD3!$A:$J,MATCH(D$3,OPERBUD3!$A$1:$L$1,0),FALSE)</f>
        <v>396954</v>
      </c>
      <c r="E31" s="107">
        <f>+VLOOKUP($A31,OPERBUD3!$A:$J,MATCH(E$3,OPERBUD3!$A$1:$L$1,0),FALSE)</f>
        <v>291229</v>
      </c>
      <c r="F31" s="107">
        <f>+VLOOKUP($A31,OPERBUD3!$A:$J,MATCH(F$3,OPERBUD3!$A$1:$L$1,0),FALSE)</f>
        <v>340399</v>
      </c>
      <c r="G31" s="107">
        <f>+VLOOKUP($A31,OPERBUD3!$A:$J,MATCH(G$3,OPERBUD3!$A$1:$L$1,0),FALSE)</f>
        <v>354847</v>
      </c>
      <c r="H31" s="107">
        <f>+VLOOKUP($A31,OPERBUD3!$A:$J,MATCH(H$3,OPERBUD3!$A$1:$L$1,0),FALSE)</f>
        <v>349582</v>
      </c>
      <c r="I31" s="108">
        <f>+J31</f>
        <v>445572</v>
      </c>
      <c r="J31" s="108">
        <f>+VLOOKUP($A31,OPERBUD3!$A:$J,MATCH(J$3,OPERBUD3!$A$1:$L$1,0),FALSE)</f>
        <v>445572</v>
      </c>
      <c r="K31" s="107">
        <f>+VLOOKUP($A31,OPERBUD3!$A:$L,MATCH(K$3,OPERBUD3!$A$1:$L$1,0),FALSE)</f>
        <v>445572</v>
      </c>
      <c r="L31" s="107">
        <f t="shared" si="34"/>
        <v>0</v>
      </c>
      <c r="M31" s="115">
        <f t="shared" si="35"/>
        <v>0.27458507589063508</v>
      </c>
      <c r="N31" s="115"/>
    </row>
    <row r="32" spans="1:15" ht="13.5" thickBot="1" x14ac:dyDescent="0.25">
      <c r="A32" s="143" t="s">
        <v>64</v>
      </c>
      <c r="B32" s="122">
        <f>+VLOOKUP($A32,OPERBUD3!$A:$J,MATCH(B$3,OPERBUD3!$A$1:$L$1,0),FALSE)</f>
        <v>861259.5</v>
      </c>
      <c r="C32" s="122">
        <f>+VLOOKUP($A32,OPERBUD3!$A:$J,MATCH(C$3,OPERBUD3!$A$1:$L$1,0),FALSE)</f>
        <v>861259.5</v>
      </c>
      <c r="D32" s="122">
        <f>+VLOOKUP($A32,OPERBUD3!$A:$J,MATCH(D$3,OPERBUD3!$A$1:$L$1,0),FALSE)</f>
        <v>861259.5</v>
      </c>
      <c r="E32" s="122">
        <f>+VLOOKUP($A32,OPERBUD3!$A:$J,MATCH(E$3,OPERBUD3!$A$1:$L$1,0),FALSE)</f>
        <v>1122247.3400000001</v>
      </c>
      <c r="F32" s="122">
        <f>+VLOOKUP($A32,OPERBUD3!$A:$J,MATCH(F$3,OPERBUD3!$A$1:$L$1,0),FALSE)</f>
        <v>1052261.1299999999</v>
      </c>
      <c r="G32" s="122">
        <f>+VLOOKUP($A32,OPERBUD3!$A:$J,MATCH(G$3,OPERBUD3!$A$1:$L$1,0),FALSE)</f>
        <v>1012519.437</v>
      </c>
      <c r="H32" s="122">
        <f>+VLOOKUP($A32,OPERBUD3!$A:$J,MATCH(H$3,OPERBUD3!$A$1:$L$1,0),FALSE)</f>
        <v>1937485.07</v>
      </c>
      <c r="I32" s="123">
        <f>+J32</f>
        <v>1950948.81</v>
      </c>
      <c r="J32" s="123">
        <f>+VLOOKUP($A32,OPERBUD3!$A:$J,MATCH(J$3,OPERBUD3!$A$1:$L$1,0),FALSE)</f>
        <v>1950948.81</v>
      </c>
      <c r="K32" s="122">
        <f>+VLOOKUP($A32,OPERBUD3!$A:$L,MATCH(K$3,OPERBUD3!$A$1:$L$1,0),FALSE)</f>
        <v>1950948.81</v>
      </c>
      <c r="L32" s="122">
        <f t="shared" si="34"/>
        <v>0</v>
      </c>
      <c r="M32" s="163">
        <f t="shared" si="35"/>
        <v>6.9490806450446556E-3</v>
      </c>
      <c r="N32" s="163"/>
    </row>
    <row r="33" spans="1:14" s="128" customFormat="1" ht="14.25" thickTop="1" thickBot="1" x14ac:dyDescent="0.25">
      <c r="A33" s="124" t="s">
        <v>143</v>
      </c>
      <c r="B33" s="125">
        <f t="shared" ref="B33:L33" si="36">SUM(B29:B32)</f>
        <v>4763725.6899999995</v>
      </c>
      <c r="C33" s="125">
        <f t="shared" si="36"/>
        <v>4901360.8600000003</v>
      </c>
      <c r="D33" s="125">
        <f t="shared" si="36"/>
        <v>4974888.82</v>
      </c>
      <c r="E33" s="125">
        <f t="shared" si="36"/>
        <v>5313139.4300000006</v>
      </c>
      <c r="F33" s="125">
        <f t="shared" si="36"/>
        <v>5560714.9099999992</v>
      </c>
      <c r="G33" s="125">
        <f t="shared" si="36"/>
        <v>5943115.4369999999</v>
      </c>
      <c r="H33" s="125">
        <f t="shared" si="36"/>
        <v>7116849.0700000003</v>
      </c>
      <c r="I33" s="126">
        <f t="shared" ref="I33" si="37">SUM(I29:I32)</f>
        <v>7419931.8100000005</v>
      </c>
      <c r="J33" s="126">
        <f t="shared" si="36"/>
        <v>7419931.8100000005</v>
      </c>
      <c r="K33" s="125">
        <f t="shared" si="36"/>
        <v>7419931.8100000005</v>
      </c>
      <c r="L33" s="125">
        <f t="shared" si="36"/>
        <v>0</v>
      </c>
      <c r="M33" s="164">
        <f>+(K33-H33)/H33</f>
        <v>4.2586647126970786E-2</v>
      </c>
      <c r="N33" s="164"/>
    </row>
    <row r="34" spans="1:14" ht="13.5" thickTop="1" x14ac:dyDescent="0.2">
      <c r="A34" s="129" t="s">
        <v>85</v>
      </c>
      <c r="D34" s="130">
        <f t="shared" ref="D34:I34" si="38">+D31-C31</f>
        <v>-27108</v>
      </c>
      <c r="E34" s="130">
        <f t="shared" si="38"/>
        <v>-105725</v>
      </c>
      <c r="F34" s="130">
        <f t="shared" si="38"/>
        <v>49170</v>
      </c>
      <c r="G34" s="130">
        <f t="shared" si="38"/>
        <v>14448</v>
      </c>
      <c r="H34" s="130">
        <f t="shared" si="38"/>
        <v>-5265</v>
      </c>
      <c r="I34" s="131">
        <f t="shared" si="38"/>
        <v>95990</v>
      </c>
      <c r="J34" s="131">
        <f>+J31-H31</f>
        <v>95990</v>
      </c>
      <c r="K34" s="130">
        <f>+K33-H33</f>
        <v>303082.74000000022</v>
      </c>
      <c r="L34" s="130">
        <f>+K34-J34</f>
        <v>207092.74000000022</v>
      </c>
      <c r="M34" s="116"/>
      <c r="N34" s="100">
        <f>+AVERAGE(K34,H34,G34,F34,E34,D34)</f>
        <v>38100.456666666701</v>
      </c>
    </row>
    <row r="35" spans="1:14" x14ac:dyDescent="0.2">
      <c r="A35" s="129" t="s">
        <v>142</v>
      </c>
      <c r="C35" s="115">
        <f>+C33/B33-1</f>
        <v>2.8892337417522729E-2</v>
      </c>
      <c r="D35" s="115">
        <f t="shared" ref="D35" si="39">+D33/C33-1</f>
        <v>1.5001539796847263E-2</v>
      </c>
      <c r="E35" s="115">
        <f t="shared" ref="E35" si="40">+E33/D33-1</f>
        <v>6.7991591820136366E-2</v>
      </c>
      <c r="F35" s="115">
        <f t="shared" ref="F35" si="41">+F33/E33-1</f>
        <v>4.6596834745591842E-2</v>
      </c>
      <c r="G35" s="115">
        <f t="shared" ref="G35" si="42">+G33/F33-1</f>
        <v>6.8768230917992001E-2</v>
      </c>
      <c r="H35" s="115">
        <f>+H33/G33-1</f>
        <v>0.19749467185050751</v>
      </c>
      <c r="I35" s="132">
        <f>+I33/H33-1</f>
        <v>4.2586647126970689E-2</v>
      </c>
      <c r="J35" s="132">
        <f t="shared" ref="J35" si="43">+J33/H33-1</f>
        <v>4.2586647126970689E-2</v>
      </c>
      <c r="K35" s="115">
        <f>+K33/H33-1</f>
        <v>4.2586647126970689E-2</v>
      </c>
      <c r="L35" s="115"/>
      <c r="M35" s="115"/>
      <c r="N35" s="115">
        <f>+AVERAGE(K35,H35,G35,F35,E35,D35)</f>
        <v>7.3073252709674283E-2</v>
      </c>
    </row>
    <row r="36" spans="1:14" ht="13.5" thickBot="1" x14ac:dyDescent="0.25">
      <c r="A36" s="144"/>
      <c r="I36" s="133"/>
      <c r="J36" s="133"/>
      <c r="M36" s="116"/>
      <c r="N36" s="116"/>
    </row>
    <row r="37" spans="1:14" ht="13.5" thickBot="1" x14ac:dyDescent="0.25">
      <c r="A37" s="145" t="s">
        <v>83</v>
      </c>
      <c r="B37" s="146">
        <f>+B33+B19+B15</f>
        <v>21337033.210000001</v>
      </c>
      <c r="C37" s="146">
        <f>+C33+C19+C15</f>
        <v>22035577.545000002</v>
      </c>
      <c r="D37" s="146">
        <f t="shared" ref="D37:J37" si="44">+D24+D33</f>
        <v>23174103.579999998</v>
      </c>
      <c r="E37" s="146">
        <f t="shared" si="44"/>
        <v>24331280.530000001</v>
      </c>
      <c r="F37" s="146">
        <f t="shared" si="44"/>
        <v>25039496.699999999</v>
      </c>
      <c r="G37" s="146">
        <f t="shared" si="44"/>
        <v>26210635.401046</v>
      </c>
      <c r="H37" s="146">
        <f t="shared" si="44"/>
        <v>28230968.73</v>
      </c>
      <c r="I37" s="147">
        <f t="shared" ref="I37" si="45">+I24+I33</f>
        <v>29412903.840000004</v>
      </c>
      <c r="J37" s="147">
        <f t="shared" si="44"/>
        <v>29503138.100000001</v>
      </c>
      <c r="K37" s="146">
        <f>+K24+K33</f>
        <v>29315941.066</v>
      </c>
      <c r="L37" s="146">
        <f>+K37-J37</f>
        <v>-187197.03400000185</v>
      </c>
      <c r="M37" s="167">
        <f>+(K37-H37)/H37</f>
        <v>3.8431990994593095E-2</v>
      </c>
      <c r="N37" s="167"/>
    </row>
    <row r="38" spans="1:14" x14ac:dyDescent="0.2">
      <c r="A38" s="144" t="s">
        <v>85</v>
      </c>
      <c r="C38" s="100">
        <f>+C37-B37</f>
        <v>698544.33500000089</v>
      </c>
      <c r="D38" s="100">
        <f t="shared" ref="D38:I38" si="46">+D37-C37</f>
        <v>1138526.0349999964</v>
      </c>
      <c r="E38" s="100">
        <f t="shared" si="46"/>
        <v>1157176.950000003</v>
      </c>
      <c r="F38" s="100">
        <f t="shared" si="46"/>
        <v>708216.16999999806</v>
      </c>
      <c r="G38" s="100">
        <f t="shared" si="46"/>
        <v>1171138.7010460012</v>
      </c>
      <c r="H38" s="100">
        <f t="shared" si="46"/>
        <v>2020333.328954</v>
      </c>
      <c r="I38" s="133">
        <f t="shared" si="46"/>
        <v>1181935.1100000031</v>
      </c>
      <c r="J38" s="133">
        <f>+J37-H37</f>
        <v>1272169.370000001</v>
      </c>
      <c r="K38" s="100">
        <f>+K37-H37</f>
        <v>1084972.3359999992</v>
      </c>
      <c r="L38" s="100">
        <f>+K38-J38</f>
        <v>-187197.03400000185</v>
      </c>
      <c r="M38" s="116"/>
      <c r="N38" s="116"/>
    </row>
    <row r="39" spans="1:14" ht="13.5" thickBot="1" x14ac:dyDescent="0.25">
      <c r="A39" s="144"/>
      <c r="C39" s="116">
        <f>+C38/B37</f>
        <v>3.2738587793574553E-2</v>
      </c>
      <c r="D39" s="116">
        <f t="shared" ref="D39:I39" si="47">+D38/C37</f>
        <v>5.1667628528226824E-2</v>
      </c>
      <c r="E39" s="116">
        <f t="shared" si="47"/>
        <v>4.993405445027372E-2</v>
      </c>
      <c r="F39" s="116">
        <f t="shared" si="47"/>
        <v>2.9107229647316799E-2</v>
      </c>
      <c r="G39" s="116">
        <f t="shared" si="47"/>
        <v>4.6771655000797246E-2</v>
      </c>
      <c r="H39" s="116">
        <f t="shared" si="47"/>
        <v>7.7080669661040477E-2</v>
      </c>
      <c r="I39" s="148">
        <f t="shared" si="47"/>
        <v>4.1866615393328838E-2</v>
      </c>
      <c r="J39" s="148">
        <f>+J38/H37</f>
        <v>4.5062901743365046E-2</v>
      </c>
      <c r="K39" s="116">
        <f>+K38/H37</f>
        <v>3.8431990994593095E-2</v>
      </c>
      <c r="L39" s="116"/>
      <c r="M39" s="116"/>
      <c r="N39" s="116"/>
    </row>
    <row r="40" spans="1:14" ht="13.5" thickBot="1" x14ac:dyDescent="0.25">
      <c r="L40" s="116"/>
      <c r="M40" s="116"/>
    </row>
    <row r="41" spans="1:14" x14ac:dyDescent="0.2">
      <c r="A41" s="149" t="s">
        <v>87</v>
      </c>
      <c r="B41" s="150"/>
      <c r="C41" s="150"/>
      <c r="D41" s="150">
        <f>+OPERBUD3!D174</f>
        <v>23174103.579999998</v>
      </c>
      <c r="E41" s="150">
        <f>+OPERBUD3!E174</f>
        <v>24331280.530000001</v>
      </c>
      <c r="F41" s="150">
        <f>+OPERBUD3!F174</f>
        <v>25039496.699999996</v>
      </c>
      <c r="G41" s="150">
        <f>+OPERBUD3!G174</f>
        <v>26210635.401046</v>
      </c>
      <c r="H41" s="150">
        <f>+OPERBUD3!H174</f>
        <v>28230968.73</v>
      </c>
      <c r="I41" s="150">
        <f>+OPERBUD3!I174</f>
        <v>29412903.84</v>
      </c>
      <c r="J41" s="150">
        <f>+OPERBUD3!J174</f>
        <v>29503138.100000001</v>
      </c>
      <c r="K41" s="151">
        <f>+OPERBUD3!L174</f>
        <v>29315941.066</v>
      </c>
      <c r="L41" s="116"/>
      <c r="M41" s="130"/>
    </row>
    <row r="42" spans="1:14" ht="13.5" thickBot="1" x14ac:dyDescent="0.25">
      <c r="A42" s="152"/>
      <c r="B42" s="153"/>
      <c r="C42" s="153"/>
      <c r="D42" s="153">
        <f t="shared" ref="D42:K42" si="48">+D41-D37</f>
        <v>0</v>
      </c>
      <c r="E42" s="153">
        <f t="shared" si="48"/>
        <v>0</v>
      </c>
      <c r="F42" s="153">
        <f t="shared" si="48"/>
        <v>0</v>
      </c>
      <c r="G42" s="153">
        <f t="shared" si="48"/>
        <v>0</v>
      </c>
      <c r="H42" s="153">
        <f t="shared" si="48"/>
        <v>0</v>
      </c>
      <c r="I42" s="153">
        <f t="shared" ref="I42" si="49">+I41-I37</f>
        <v>0</v>
      </c>
      <c r="J42" s="154">
        <f t="shared" si="48"/>
        <v>0</v>
      </c>
      <c r="K42" s="154">
        <f t="shared" si="48"/>
        <v>0</v>
      </c>
      <c r="L42" s="116"/>
      <c r="M42" s="116"/>
    </row>
    <row r="43" spans="1:14" x14ac:dyDescent="0.2">
      <c r="L43" s="116"/>
      <c r="M43" s="116"/>
    </row>
    <row r="49" spans="1:1" x14ac:dyDescent="0.2">
      <c r="A49" s="144"/>
    </row>
    <row r="50" spans="1:1" x14ac:dyDescent="0.2">
      <c r="A50" s="155"/>
    </row>
    <row r="51" spans="1:1" x14ac:dyDescent="0.2">
      <c r="A51" s="155"/>
    </row>
    <row r="52" spans="1:1" x14ac:dyDescent="0.2">
      <c r="A52" s="155"/>
    </row>
    <row r="53" spans="1:1" x14ac:dyDescent="0.2">
      <c r="A53" s="156"/>
    </row>
    <row r="54" spans="1:1" x14ac:dyDescent="0.2">
      <c r="A54" s="101"/>
    </row>
    <row r="55" spans="1:1" x14ac:dyDescent="0.2">
      <c r="A55" s="101"/>
    </row>
    <row r="56" spans="1:1" x14ac:dyDescent="0.2">
      <c r="A56" s="101"/>
    </row>
    <row r="57" spans="1:1" x14ac:dyDescent="0.2">
      <c r="A57" s="101"/>
    </row>
    <row r="58" spans="1:1" x14ac:dyDescent="0.2">
      <c r="A58" s="101"/>
    </row>
    <row r="59" spans="1:1" x14ac:dyDescent="0.2">
      <c r="A59" s="101"/>
    </row>
    <row r="60" spans="1:1" x14ac:dyDescent="0.2">
      <c r="A60" s="101"/>
    </row>
    <row r="61" spans="1:1" x14ac:dyDescent="0.2">
      <c r="A61" s="101"/>
    </row>
    <row r="62" spans="1:1" x14ac:dyDescent="0.2">
      <c r="A62" s="101"/>
    </row>
    <row r="63" spans="1:1" x14ac:dyDescent="0.2">
      <c r="A63" s="101"/>
    </row>
    <row r="64" spans="1:1" x14ac:dyDescent="0.2">
      <c r="A64" s="101"/>
    </row>
    <row r="65" spans="1:1" x14ac:dyDescent="0.2">
      <c r="A65" s="101"/>
    </row>
    <row r="66" spans="1:1" x14ac:dyDescent="0.2">
      <c r="A66" s="101"/>
    </row>
    <row r="67" spans="1:1" x14ac:dyDescent="0.2">
      <c r="A67" s="101"/>
    </row>
    <row r="68" spans="1:1" x14ac:dyDescent="0.2">
      <c r="A68" s="101"/>
    </row>
    <row r="69" spans="1:1" x14ac:dyDescent="0.2">
      <c r="A69" s="101"/>
    </row>
    <row r="70" spans="1:1" x14ac:dyDescent="0.2">
      <c r="A70" s="101"/>
    </row>
    <row r="72" spans="1:1" x14ac:dyDescent="0.2">
      <c r="A72" s="102"/>
    </row>
    <row r="73" spans="1:1" x14ac:dyDescent="0.2">
      <c r="A73" s="157"/>
    </row>
    <row r="74" spans="1:1" x14ac:dyDescent="0.2">
      <c r="A74" s="102"/>
    </row>
    <row r="75" spans="1:1" x14ac:dyDescent="0.2">
      <c r="A75" s="155"/>
    </row>
    <row r="76" spans="1:1" x14ac:dyDescent="0.2">
      <c r="A76" s="155"/>
    </row>
    <row r="77" spans="1:1" x14ac:dyDescent="0.2">
      <c r="A77" s="102"/>
    </row>
    <row r="78" spans="1:1" x14ac:dyDescent="0.2">
      <c r="A78" s="102"/>
    </row>
    <row r="79" spans="1:1" x14ac:dyDescent="0.2">
      <c r="A79" s="102"/>
    </row>
    <row r="80" spans="1:1" x14ac:dyDescent="0.2">
      <c r="A80" s="155"/>
    </row>
    <row r="81" spans="1:1" x14ac:dyDescent="0.2">
      <c r="A81" s="144"/>
    </row>
    <row r="83" spans="1:1" x14ac:dyDescent="0.2">
      <c r="A83" s="144"/>
    </row>
    <row r="84" spans="1:1" x14ac:dyDescent="0.2">
      <c r="A84" s="155"/>
    </row>
    <row r="85" spans="1:1" x14ac:dyDescent="0.2">
      <c r="A85" s="155"/>
    </row>
    <row r="86" spans="1:1" x14ac:dyDescent="0.2">
      <c r="A86" s="155"/>
    </row>
    <row r="87" spans="1:1" x14ac:dyDescent="0.2">
      <c r="A87" s="158"/>
    </row>
  </sheetData>
  <sortState ref="A2:A286">
    <sortCondition ref="A2:A286"/>
  </sortState>
  <mergeCells count="1">
    <mergeCell ref="A1:N1"/>
  </mergeCells>
  <pageMargins left="0.7" right="0.7" top="0.75" bottom="0.75" header="0.3" footer="0.3"/>
  <pageSetup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OPERBUD3</vt:lpstr>
      <vt:lpstr>Sources</vt:lpstr>
      <vt:lpstr>Uses</vt:lpstr>
      <vt:lpstr>Budget Comparison</vt:lpstr>
      <vt:lpstr>'Budget Comparison'!Print_Area</vt:lpstr>
      <vt:lpstr>OPERBUD3!Print_Area</vt:lpstr>
      <vt:lpstr>Uses!Print_Area</vt:lpstr>
      <vt:lpstr>OPERBUD3!Print_Titles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 Bateman</dc:creator>
  <cp:lastModifiedBy>DPW 2</cp:lastModifiedBy>
  <cp:lastPrinted>2017-05-10T16:39:38Z</cp:lastPrinted>
  <dcterms:created xsi:type="dcterms:W3CDTF">1998-01-07T18:14:53Z</dcterms:created>
  <dcterms:modified xsi:type="dcterms:W3CDTF">2017-05-10T16:43:54Z</dcterms:modified>
</cp:coreProperties>
</file>